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 activeTab="3"/>
  </bookViews>
  <sheets>
    <sheet name="Daftar Isi" sheetId="11" r:id="rId1"/>
    <sheet name="I" sheetId="12" r:id="rId2"/>
    <sheet name="I-2" sheetId="13" r:id="rId3"/>
    <sheet name="lamp ii lap realisasi kegiatan2" sheetId="19" r:id="rId4"/>
    <sheet name="LAMPIRAN III 2024" sheetId="17" r:id="rId5"/>
    <sheet name="t2c aset" sheetId="25" r:id="rId6"/>
    <sheet name="laporan mutasi aset" sheetId="24" r:id="rId7"/>
    <sheet name="Sheet1" sheetId="2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'Daftar Isi'!$A$1:$F$52</definedName>
    <definedName name="_xlnm.Print_Area" localSheetId="1">I!$A$1:$I$43</definedName>
    <definedName name="_xlnm.Print_Area" localSheetId="2">'I-2'!$A$1:$G$377</definedName>
    <definedName name="_xlnm.Print_Area" localSheetId="4">'LAMPIRAN III 2024'!$A$1:$H$21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<sst xmlns="http://schemas.openxmlformats.org/spreadsheetml/2006/main" count="1951" uniqueCount="1018">
  <si>
    <t xml:space="preserve">LAMPIRAN I </t>
  </si>
  <si>
    <t>PERATURAN KALURAHAN GIRING</t>
  </si>
  <si>
    <t>NOMOR    TAHUN 2024</t>
  </si>
  <si>
    <t>TENTANG</t>
  </si>
  <si>
    <t>LAPORAN PERTANGGUNGJAWABAN REALISASI PELAKSANAAN</t>
  </si>
  <si>
    <t>ANGGARAN PENDAPATAN DAN BELANJA KALURAHAN</t>
  </si>
  <si>
    <t>TAHUN ANGGARAN 2023</t>
  </si>
  <si>
    <t xml:space="preserve">LAPORAN KEUANGAN </t>
  </si>
  <si>
    <t>PEMERINTAH KALURAHAN GIRING KAPANEWON PALIYAN</t>
  </si>
  <si>
    <t>KABUPATEN GUNUNGKIDUL</t>
  </si>
  <si>
    <t>DAFTAR ISI</t>
  </si>
  <si>
    <t>halaman</t>
  </si>
  <si>
    <t>I</t>
  </si>
  <si>
    <t>Laporan Realisasi APBKal</t>
  </si>
  <si>
    <t>II</t>
  </si>
  <si>
    <t>Catatan  Atas Laporan Keuangan</t>
  </si>
  <si>
    <t>A.</t>
  </si>
  <si>
    <t>Informasi Umum</t>
  </si>
  <si>
    <t>B.</t>
  </si>
  <si>
    <t>Dasar Penyajian Laporan Keuangan</t>
  </si>
  <si>
    <t>C.</t>
  </si>
  <si>
    <t>Rincian Pos Laporan Realisasi Anggaran</t>
  </si>
  <si>
    <t>1.</t>
  </si>
  <si>
    <t>Rekonsiliasi SILPA dan Kas</t>
  </si>
  <si>
    <t>2.</t>
  </si>
  <si>
    <t>Pendapatan Asli Kalurahan</t>
  </si>
  <si>
    <t>3.</t>
  </si>
  <si>
    <t>Dana Desa</t>
  </si>
  <si>
    <t>4.</t>
  </si>
  <si>
    <t>Bagian dari Hasil Pajak dan Retribusi Daerah</t>
  </si>
  <si>
    <t>5.</t>
  </si>
  <si>
    <t>Alokasi Dana Desa</t>
  </si>
  <si>
    <t>6.</t>
  </si>
  <si>
    <t>Bantuan Keuangan Propinsi</t>
  </si>
  <si>
    <t>7.</t>
  </si>
  <si>
    <t>Bantuan Keuangan Kabupaten</t>
  </si>
  <si>
    <t>8.</t>
  </si>
  <si>
    <t xml:space="preserve">Pendapatan Lain                                                                                       </t>
  </si>
  <si>
    <t>9.</t>
  </si>
  <si>
    <t>Belanja Bidang Penyelenggaraan pemerintah Kalurahan</t>
  </si>
  <si>
    <t>10.</t>
  </si>
  <si>
    <t>Belanja Bidang Pelaksanaan Pembangunan Kalurahan</t>
  </si>
  <si>
    <t>11.</t>
  </si>
  <si>
    <t>Belanja Bidang Pembinaan Kemasyaratan Kalurahan</t>
  </si>
  <si>
    <t>12.</t>
  </si>
  <si>
    <t>Belanja Bidang  Pemberdayaan Kemasyaratan Kalurahan</t>
  </si>
  <si>
    <t>13.</t>
  </si>
  <si>
    <t>Belanja Bidang Penanggulangan Bencana, Darurat dan Mendesak Kalurahan</t>
  </si>
  <si>
    <t>14.</t>
  </si>
  <si>
    <t>Belanja Desa dalam Klasifikasi Ekonomi</t>
  </si>
  <si>
    <t>15.</t>
  </si>
  <si>
    <t>Belanja Desa dalam Klasifikasi Sub Bidang (Fungsi)</t>
  </si>
  <si>
    <t>16.</t>
  </si>
  <si>
    <t>Pembiayaan</t>
  </si>
  <si>
    <t>17.</t>
  </si>
  <si>
    <t>Aset Kalurahan</t>
  </si>
  <si>
    <t>18.</t>
  </si>
  <si>
    <t>Penyertaan Modal</t>
  </si>
  <si>
    <t>D.</t>
  </si>
  <si>
    <t>Lampiran</t>
  </si>
  <si>
    <t>Lampiran  1 - Rincian Aset Tetap Kalurahan</t>
  </si>
  <si>
    <t>Lampiran  2 - Laporan Realisasi Kegiatan Akhir Tahun</t>
  </si>
  <si>
    <t>Lampiran  3 - Program Sektoral, Program Daerah dan Program Lainnya yang masuk ke Kalurahan</t>
  </si>
  <si>
    <t>LAPORAN REALISASI APBDESA</t>
  </si>
  <si>
    <t>PEMERINTAH KALURAHAN GIRING</t>
  </si>
  <si>
    <t>des</t>
  </si>
  <si>
    <t>KAPANEWON PALIYAN</t>
  </si>
  <si>
    <t>TAHUN ANGGARAN 2024</t>
  </si>
  <si>
    <t>Ref</t>
  </si>
  <si>
    <t>ANGGARAN (Rp)</t>
  </si>
  <si>
    <t>REALISASI (Rp)</t>
  </si>
  <si>
    <t>LEBIH/KURANG (Rp)</t>
  </si>
  <si>
    <t>PENDAPATAN</t>
  </si>
  <si>
    <t>Pendapatan Asli Desa</t>
  </si>
  <si>
    <t>Hasil Aset Desa</t>
  </si>
  <si>
    <t>Lain-lain pendapatan desa yang sah</t>
  </si>
  <si>
    <t>Pendapatan Transfer</t>
  </si>
  <si>
    <t xml:space="preserve">Bagi Hasil Pajak dan Retribusi </t>
  </si>
  <si>
    <t>Bantuan Keuangan Provinsi</t>
  </si>
  <si>
    <t>Pendapatan Lain-lain</t>
  </si>
  <si>
    <t>Bunga bank</t>
  </si>
  <si>
    <t>Bagi hasil goa maria tritis</t>
  </si>
  <si>
    <t>terima Dari BKAD</t>
  </si>
  <si>
    <t>JUMLAH PENDAPATAN</t>
  </si>
  <si>
    <t>BELANJA</t>
  </si>
  <si>
    <t>Bidang Penyelenggaraan Pemerintahan Desa</t>
  </si>
  <si>
    <t>Bidang Pelaksanaan Pembangunan Desa</t>
  </si>
  <si>
    <t>Bidang Pembinaan Kemasyarakatan</t>
  </si>
  <si>
    <t>Bidang Pemberdayaan Masyarakat</t>
  </si>
  <si>
    <t>Bidang Penanggulangan Bencana Darurat dan Mendesak Desa</t>
  </si>
  <si>
    <t>JUMLAH BELANJA</t>
  </si>
  <si>
    <t>(SURPLUS/DEFISIT)</t>
  </si>
  <si>
    <t>PEMBIAYAAN</t>
  </si>
  <si>
    <t>Penerimaan Pembiayaan</t>
  </si>
  <si>
    <t>Pengeluaran Pembiayaan</t>
  </si>
  <si>
    <t>Pembiayaan Netto</t>
  </si>
  <si>
    <t>SILPA TAHUN BERJALAN</t>
  </si>
  <si>
    <t xml:space="preserve">Catatan Atas  Laporan  Keuangan </t>
  </si>
  <si>
    <t>Pemerintah Kalurahan Giring</t>
  </si>
  <si>
    <t xml:space="preserve">Kapanewon Paliyan Kabupaten Gunungkidul </t>
  </si>
  <si>
    <t>Tahun Anggaran 2024</t>
  </si>
  <si>
    <t>A.   Informasi Umum</t>
  </si>
  <si>
    <t xml:space="preserve">       Pemerintah Kalurahan Giring merupakan Kalurahan di Kapanewon Paliyan, Kabupaten  Gunungkidul.  Sesuai dengan </t>
  </si>
  <si>
    <t xml:space="preserve">       Keputusan Bupati Nomor No. 141/125/PG/KPTS/2021 Tanggal 13 Desember 2021, saat ini kepengurusan Pemerintahan </t>
  </si>
  <si>
    <t xml:space="preserve">       Kalurahan Giring :</t>
  </si>
  <si>
    <t xml:space="preserve">       1. Lurah                  : Joko Tirto Wibowo</t>
  </si>
  <si>
    <t xml:space="preserve">       2. Carik                   : Sigit Handoyo</t>
  </si>
  <si>
    <t xml:space="preserve">       3. Kaur Danarta      : Dwi Indarti Yuliatun</t>
  </si>
  <si>
    <t xml:space="preserve">       Pemerintahan Kalurahan beralamat di Kendal, Kalurahan Giring, Kapanewon Paliyan, </t>
  </si>
  <si>
    <t xml:space="preserve">        Kabupaten Gunungkidul.</t>
  </si>
  <si>
    <t>B.   Dasar Penyajian Laporan Keuangan</t>
  </si>
  <si>
    <t xml:space="preserve">       Laporan Keuangan Kalurahan berupa Laporan Realisasi APB Kalurahan sesuai basis kas dengan dasar harga perolehan. </t>
  </si>
  <si>
    <t xml:space="preserve">       Pendapatan dicatat pada saat  kas diterima di Bank atau Kas dan Belanja dicatat pada saat kas dikeluarkan dan telah </t>
  </si>
  <si>
    <t xml:space="preserve">       bersifat definitif.</t>
  </si>
  <si>
    <t xml:space="preserve">       </t>
  </si>
  <si>
    <t>C.   Rincian Pos Laporan Keuangan</t>
  </si>
  <si>
    <t>SILPA Tahun Anggaran 2023</t>
  </si>
  <si>
    <t>Mutasi Potongan Pajak</t>
  </si>
  <si>
    <t>-  Saldo Awal Periode Potongan Pajak yg belum disetor ke Kas Negara</t>
  </si>
  <si>
    <t>-  Penerimaan Potongan Pajak tahun anggaran berjalan</t>
  </si>
  <si>
    <t>-  Setoran Pajak ke Kas Negara selama tahun anggaran berjalan</t>
  </si>
  <si>
    <t>-  Saldo Akhir Periode Potongan Pajak yg belum disetor ke Kas Negara</t>
  </si>
  <si>
    <t>Saldo Kas per 31 Desember 2024</t>
  </si>
  <si>
    <t>Catatan :</t>
  </si>
  <si>
    <t>terdapat utang pajak sebesar Rp. 792.000,00 karena di aplikasi siskudes tidak dapat dientri dan menjadi silpa tunai</t>
  </si>
  <si>
    <t>di tanggal 31 Desember 2024 sehingga dikembalikan ke rekening.</t>
  </si>
  <si>
    <t>Pendapatan Asli Kalurahan terdiri dari:</t>
  </si>
  <si>
    <t>Anggaran</t>
  </si>
  <si>
    <t>Realisasi</t>
  </si>
  <si>
    <t>(Lebih)/ Kurang</t>
  </si>
  <si>
    <t>a.  Hasil Usaha</t>
  </si>
  <si>
    <t>b.  Hasil pengelolaan kas desa</t>
  </si>
  <si>
    <t>PAD Sewa Kios Desa : 2.700.000 (Sewa Pasar kios singkil 1.200.000 dan sewa Kios singkil JLS 1.500.000)</t>
  </si>
  <si>
    <t>PAD Hasil Pengelolan Kas Desa   5.000.000 (Parkir Goa Maria 1.500.000, sewa lapangan, sewa balai kalurahan)</t>
  </si>
  <si>
    <t>Dana Desa merupakan penerimaan kalurahan yang diperoleh dari APBN. Jumlah penerimaan Dana Desa selama tahun anggaran 2024 adalah sebagai berikut:</t>
  </si>
  <si>
    <t>SILPA Tahun Anggaran 2024</t>
  </si>
  <si>
    <t>Dana Desa Tahap I</t>
  </si>
  <si>
    <t>Temuan IRDA</t>
  </si>
  <si>
    <t>:</t>
  </si>
  <si>
    <t>Dana Desa Tahap III</t>
  </si>
  <si>
    <t>BLT DD</t>
  </si>
  <si>
    <t>pengembalian dari kegiatan kelebihan</t>
  </si>
  <si>
    <t xml:space="preserve"> Bagian dari hasil pajak dan Retribusi Daerah</t>
  </si>
  <si>
    <t>a. Penerimaan Kalurahan yang berasal dari Bagian dari hasil pajak dan Retribusi Daerah adalah :</t>
  </si>
  <si>
    <t xml:space="preserve">    Silpa</t>
  </si>
  <si>
    <t xml:space="preserve">    Tahap 1</t>
  </si>
  <si>
    <t xml:space="preserve">    Tahap 2  </t>
  </si>
  <si>
    <t xml:space="preserve">    Tahap 3 </t>
  </si>
  <si>
    <t>catatan :</t>
  </si>
  <si>
    <t>Terdapat Perubahan Pagu Transfer Dana Bagi Hasil Pajak &amp; Retribusi Daerah Tahun 2024 senilai Rp. 6.404.500</t>
  </si>
  <si>
    <t>sesuai dengan SE Bupati Nomor 48 Tahun 2024</t>
  </si>
  <si>
    <t>b. Penerimaan Kalurahan dari kekurangan bagian hasil pajak dan retribusi daerah tahun sebelumnya adalah :</t>
  </si>
  <si>
    <t>c. Penerimaan Kalurahan dari bagian dari hasil penugasan penarikan retribusi obyek wisata dan tempat olah raga :</t>
  </si>
  <si>
    <t xml:space="preserve"> Alokasi Dana Desa (ADD)</t>
  </si>
  <si>
    <t>Penerimaan Kalurahan yang berasal dari Alokasi Dana Desa (ADD) adalah sebagai berikut:</t>
  </si>
  <si>
    <t>Silpa tahun anggaran 2023</t>
  </si>
  <si>
    <t>Tahap 1</t>
  </si>
  <si>
    <t xml:space="preserve">Tahap 2  </t>
  </si>
  <si>
    <t>Tahap 3</t>
  </si>
  <si>
    <t>Tahap 4</t>
  </si>
  <si>
    <t>Tahap 5</t>
  </si>
  <si>
    <t>Tahap 6</t>
  </si>
  <si>
    <t>Tahap 7</t>
  </si>
  <si>
    <t>Tahap 8</t>
  </si>
  <si>
    <t>Tahap 9</t>
  </si>
  <si>
    <t>Tahap 10</t>
  </si>
  <si>
    <t>Tahap 11</t>
  </si>
  <si>
    <t>Tahap 12</t>
  </si>
  <si>
    <t xml:space="preserve">catatan : </t>
  </si>
  <si>
    <t>terdapat perubahan pagu di pertengahan tahun</t>
  </si>
  <si>
    <t>Penerimaan Kalurahan yang berasal dari Bantuan Keuangan Propinsi DIY adalah sebagai berikut:</t>
  </si>
  <si>
    <t xml:space="preserve">Dana is </t>
  </si>
  <si>
    <t>Terdapat perubahan pagu karena yang terealiasi hanya sebesar Rp. 116.045.999,00 dikarenakan ada kendala ijin</t>
  </si>
  <si>
    <t>penggunaan tanah di wilayah sekitar goa maria tritis yang terhambat.</t>
  </si>
  <si>
    <t>Penerimaan Kalurahan yang berasal dari Bantuan Keuangan Kabupaten Gunungkidul adalah sebagai berikut  :</t>
  </si>
  <si>
    <t>Pendapatan Lain</t>
  </si>
  <si>
    <t>Pendapatan lain terdiri dari:</t>
  </si>
  <si>
    <t>Silpa</t>
  </si>
  <si>
    <t>Bunga bank Januari</t>
  </si>
  <si>
    <t xml:space="preserve">            Bunga Bank Februari</t>
  </si>
  <si>
    <t xml:space="preserve">          Bunga Bank Maret</t>
  </si>
  <si>
    <t xml:space="preserve">          Bunga April</t>
  </si>
  <si>
    <t xml:space="preserve">          Bunga bank Mei</t>
  </si>
  <si>
    <t xml:space="preserve">          Bunga bank Juni</t>
  </si>
  <si>
    <t xml:space="preserve">          Bunga bank Juli</t>
  </si>
  <si>
    <t xml:space="preserve">         Bunga bank Agustus</t>
  </si>
  <si>
    <t xml:space="preserve">         Bunga bank September</t>
  </si>
  <si>
    <t xml:space="preserve">          Bunga Bank Oktober</t>
  </si>
  <si>
    <t xml:space="preserve">          Bunga bank November</t>
  </si>
  <si>
    <t xml:space="preserve">       Bunga Bank Desember</t>
  </si>
  <si>
    <t xml:space="preserve">          bagi hasil parkir goa maria tritis</t>
  </si>
  <si>
    <t xml:space="preserve">            terima Dari UPK</t>
  </si>
  <si>
    <t xml:space="preserve">terdapat transfer / hibah dana sosial dari UPK sebesar Rp. 20.213.000,00 </t>
  </si>
  <si>
    <t>Belanja - Bidang Penyelenggaraan Pemerintahan Kalurahan</t>
  </si>
  <si>
    <t>Belanja untuk Bidang Penyelenggaraan Pemerintahan Kalurahan terdiri dari:</t>
  </si>
  <si>
    <t>Belanja Pegawai</t>
  </si>
  <si>
    <t>Belanja Barang dan Jasa</t>
  </si>
  <si>
    <t>Belanja Modal</t>
  </si>
  <si>
    <t xml:space="preserve">Belanja pegawai terdiri dari Penghasilan tetap kepala desa, tunjangan perangkat desa, Jaminan sosial bagi kepala desa </t>
  </si>
  <si>
    <t xml:space="preserve">dan perangkat desa, dan Tunjangan Bamuskal. </t>
  </si>
  <si>
    <t xml:space="preserve">Belanja barang dan jasa terdiri dari semua kegiatan barang perlengkapan , jasa honorarium operasional pemdes, </t>
  </si>
  <si>
    <t>operasional bamuskal, peralatan kerja, Insentif RT /RW, Monografi, Profil, SID,Musdes, Musdus, Pengisian pamong,</t>
  </si>
  <si>
    <t xml:space="preserve">Belanja modal terdiri dari pemeliharaan gedung/prasarana kantor desa, pengadaan modal peralatan komputer, </t>
  </si>
  <si>
    <t xml:space="preserve">10. </t>
  </si>
  <si>
    <t>Belanja - Bidang Pembangunan Kalurahan</t>
  </si>
  <si>
    <t>Belanja untuk Bidang Pembangunan Kalurahan terdiri dari:</t>
  </si>
  <si>
    <t>Belanja barang dan jasa terdiri dari semua kegiatan posyandu, penyuluhan dan pelatihan bidang kesTehatan, PMT</t>
  </si>
  <si>
    <t>PAUD, Desa Siaga Kesehatan, Insentif Kader KB / Kesehatan, Lain-lain Sub Bidang kesehatan lainnya.</t>
  </si>
  <si>
    <t>Belanja Modal terdiri dari kegiatan DD JUT, Pembangunan, pengerasan jalan desa, Pembangunan Jalan Lingkungan</t>
  </si>
  <si>
    <t>Pemukiman, Pembangunan JUT.</t>
  </si>
  <si>
    <t>Belanja - Bidang Pembinaan Kemasyaratan Kalurahan</t>
  </si>
  <si>
    <t>Belanja untuk Bidang Pembinaan Kemasyarakatan Kalurahan terdiri dari:</t>
  </si>
  <si>
    <t xml:space="preserve">Belanja barang dan jasa terdiri dari RUmah adat dan keagamaan, Pelaksanaan upacara adat / tradisi daerah tingkat </t>
  </si>
  <si>
    <t>desa, lain-lain sub bidang kebudayaan dan keagamaan, Pelakanaan hari besar nasional, Karang taruna, LPMD, PKK.</t>
  </si>
  <si>
    <t>Belanja Modal terdiri dari Pengadaan mesin peralatan sub bidang kebudayaan dan keagamaan,.</t>
  </si>
  <si>
    <t xml:space="preserve">12. </t>
  </si>
  <si>
    <t>Belanja - Bidang Pemberdayaan Masyarakat Kalurahan</t>
  </si>
  <si>
    <t>Belanja untuk Bidang Perberdayaan Masyarakat  Kalurahan terdiri dari:</t>
  </si>
  <si>
    <t>terealisasi sebesar Rp. 39.700.000,00 yaitu dari kegiatan Sub Bidang Pertanian dan Peternakan (Pipanisasi)</t>
  </si>
  <si>
    <t xml:space="preserve">13. </t>
  </si>
  <si>
    <t>Belanja - Bidang Penangulangan Bencana, Keadaan Darurat dan Mendesak Kalurahan</t>
  </si>
  <si>
    <t>Selama tahun anggaran 2023, Pemerintahan Kalurahan melakukan penanggulangan bencana dan keadaan darurat sebagai berikut</t>
  </si>
  <si>
    <t>aBelanja Tidak Terduga dan keadaan mendesak darurat</t>
  </si>
  <si>
    <t xml:space="preserve">terealisasi sebesar Rp. 32.400.000,00 yaitu BLT DD sebanyak 9 KPM perbulan 2.700.000. </t>
  </si>
  <si>
    <t>yang tidak terealisasi Rp. 9.400.000,00 dari Belanja tidak terduga</t>
  </si>
  <si>
    <t xml:space="preserve">14. </t>
  </si>
  <si>
    <t>Belanja Kalurahan dalam Klasifikasi Ekonomi</t>
  </si>
  <si>
    <t>Jumlah belanja dalam klasifikasi ekonomi adalah sebagai berikut:</t>
  </si>
  <si>
    <t>Penghasilan Tetap dan Tunjangan Lurah</t>
  </si>
  <si>
    <t>Penghasilan Tetap dan Tunjangan Pamong</t>
  </si>
  <si>
    <t>Jaminan Sosial Lurah dan Pamong</t>
  </si>
  <si>
    <t>Tunjangan BPD/Bamuskal</t>
  </si>
  <si>
    <t xml:space="preserve">tidak terealiasi sebesar RP. 37.548.400,00 dan Rp. 2.541.372,00 dari Siltap Jogoboyo dan Kamituwo yang sudah </t>
  </si>
  <si>
    <t>dianggarkan namun masih ada kekosongan jabatan.</t>
  </si>
  <si>
    <t>Belanja Barang Perlengkapan Kantor</t>
  </si>
  <si>
    <t>Belanja Jasa Honorarium</t>
  </si>
  <si>
    <t>Belanja Perjalanan Dinas</t>
  </si>
  <si>
    <t>Belanja Jasa Sewa</t>
  </si>
  <si>
    <t>Belanja Operasional Perkantoran</t>
  </si>
  <si>
    <t>Belanja Pemeliharaan</t>
  </si>
  <si>
    <t>Belanja Barang dan Jasa yang Diserahkan kepada Masyarakat</t>
  </si>
  <si>
    <t>Belanja Modal Pengadaan Tanah</t>
  </si>
  <si>
    <t>Belanja Modal Peralatan, Mesin, dan Alat Berat</t>
  </si>
  <si>
    <t>Belanja Modal Kendaraan</t>
  </si>
  <si>
    <t>Belanja Modal Gedung dan Bangunan</t>
  </si>
  <si>
    <t>Belanja Modal Jalan</t>
  </si>
  <si>
    <t>Belanja Modal Jembatan</t>
  </si>
  <si>
    <t>Belanja Modal Irigasi/Embung/AirSungai/Drainase</t>
  </si>
  <si>
    <t>Belanja Modal Jaringan/Instalasi</t>
  </si>
  <si>
    <t>Belanja Modal lainnya</t>
  </si>
  <si>
    <t>Belanja Tidak Terduga</t>
  </si>
  <si>
    <t xml:space="preserve">15. </t>
  </si>
  <si>
    <t>Belanja Desa dalam klasifikasi Sub Bidang (Fungsi)</t>
  </si>
  <si>
    <t>Bidang Penyelenggaraan Pemerintahan Kalurahan</t>
  </si>
  <si>
    <t>Sub bidang penyelenggaraan belanja penghasilan tetap, tunjangan &amp; operasional pemerintahan desa</t>
  </si>
  <si>
    <t>Sub bidang sarana &amp; prasarana pemerintahan Desa</t>
  </si>
  <si>
    <t>Sub Bidang Administrasi Kependudukan, Pencatatan Sipil, Statistik dan Kearsipan</t>
  </si>
  <si>
    <t>Sub Bidang Tata Praja Pemerintahan, Perencanaan, Keuangan dan Pelaporan</t>
  </si>
  <si>
    <t xml:space="preserve">Sub Bidang Pertanahan </t>
  </si>
  <si>
    <t>Sub Bidang Penyelenggaraan belanja penghasilan tetap, tunjangan &amp; operasional pemerintahan desa terdiri dari :</t>
  </si>
  <si>
    <t>penyediaan penghasilan tetap dan tunjangan perangkat desa Rp. 35.548.400 yaitu Siltap jagabaya dan kamituwo yang</t>
  </si>
  <si>
    <t>tidak terealisasi, dan Rp. 2.541.372 dari jaminan kamituwo dan jagabaya yang tidak terealisasi, Rp. 3.021.946 opers</t>
  </si>
  <si>
    <t>pemdes yang tidak terealisasi, opers. BPD RP. 87.136.</t>
  </si>
  <si>
    <t xml:space="preserve">Sub bidang sarana &amp; prasarana pemerintahan Desa terdiri dari Modal tidak terealisasi Rp. 11.600,00, Pembangunan / </t>
  </si>
  <si>
    <t>rehab gedung, Rp. 6.000.000 dan REhabi / pemeliharaan kendalaran dinas Rp. 2.131.500,00</t>
  </si>
  <si>
    <t>Sub Bidang Administrasi Kependudukan, Pencatatan Sipil, Statistik dan Kearsipan terdiri dari Profil Rp. 344, Mono</t>
  </si>
  <si>
    <t>grafi RP. 700.000, Pendataan RT Miskin Rp. 5.236.998</t>
  </si>
  <si>
    <t>Sub Bidang Tata Praja Pemerintahan, Perencanaan, Keuangan dan Pelaporan terdiri dari SID Rp. 113</t>
  </si>
  <si>
    <t>Sub Bidang Pertanahan terdiri dari Perpanjangan pajak / ijin pajak Rp. 647.500</t>
  </si>
  <si>
    <t>Bidang Pembangunan Kalurahan</t>
  </si>
  <si>
    <t>Sub BidangPendidikan</t>
  </si>
  <si>
    <t>Sub Bidang Kesehatan</t>
  </si>
  <si>
    <t>Sub Bidang Pekerjaan Umum dan Penataan Ruang</t>
  </si>
  <si>
    <t>Sub Bidang Kawasan Permukiman</t>
  </si>
  <si>
    <t>Sub Bidang Kehutanan dan Lingkungan Hidup</t>
  </si>
  <si>
    <t>Sub Bidang Perhubungan, Komunikasi, dan Informatika</t>
  </si>
  <si>
    <t>Sub Bidang Pariwisata</t>
  </si>
  <si>
    <t>Sub Bidang Energi dan Sumber Daya Mineral</t>
  </si>
  <si>
    <t>Sub Bidang Kesehatan tidak terealisasi di bidang penyuluhan dan pelatihan bidang kesehatan sebesar RP. 20.600</t>
  </si>
  <si>
    <t xml:space="preserve">Sub Bidang Pekerjaan Umum dan Penataan Ruang tidak terealisasi pada Modal Prasarana Jalan Rp. 40.788.000 dan </t>
  </si>
  <si>
    <t>Pembangunan/jalan desa Rp. 4.730</t>
  </si>
  <si>
    <t>Sub Bidang Pariwisata terdiri dari Pembangunan sapras pariwisata, Pembangunan rest area, Lain-lain kegiatan pari</t>
  </si>
  <si>
    <t>wisata sebesar RP. 583.954.002 terhambat karenaterkendala ijin di sekitar goa maria tritis</t>
  </si>
  <si>
    <t>Bidang Pembinaan Kemasyaratan Kalurahan</t>
  </si>
  <si>
    <t>Sub Bidang Ketenteraman, Ketertiban Umum, dan Pelindungan Masyarakat</t>
  </si>
  <si>
    <t xml:space="preserve">Sub Bidang Kebudayaan dan Keagamaan </t>
  </si>
  <si>
    <t xml:space="preserve">Sub Bidang Kepemudaan dan Olahraga </t>
  </si>
  <si>
    <t>Sub Bidang Kelembagaan Masyarakat</t>
  </si>
  <si>
    <t>Semua di bidang pembinaan kemasyarakatan kalurahan terealisasi, terdiri dari Pemeliharaan sapras kebudayaan,</t>
  </si>
  <si>
    <t>upacara adat / tradisi tingkat desa, Lain-lain sub bidang kebudayaan dan keagamaan, Peringatan hari besar nasional</t>
  </si>
  <si>
    <t>Karang Taruna, LPMD, dan PKK</t>
  </si>
  <si>
    <t>Sub Bidang Kelautan dan Perikanan</t>
  </si>
  <si>
    <t>Sub Bidang Pertanian dan Peternakan</t>
  </si>
  <si>
    <t>Sub Bidang Peningkatan Kapasitas Aparatur Desa</t>
  </si>
  <si>
    <t>Sub Bidang Pemberdayaan Perempuan, Perlindungan Anak dan Keluarga</t>
  </si>
  <si>
    <t>Sub Bidang Koperasi, Usaha Mikro Kecil dan Menengah (UMKM)</t>
  </si>
  <si>
    <t>Sub Bidang Dukungan Penanaman Modal</t>
  </si>
  <si>
    <t>Sub Bidang Perdagangan dan Perindustrian</t>
  </si>
  <si>
    <t>Sub Bidang Penanggulangan Bencana</t>
  </si>
  <si>
    <t>Sub Bidang Keadaan Darurat</t>
  </si>
  <si>
    <t>Sub Bidang Keadaan Mendesak.</t>
  </si>
  <si>
    <t xml:space="preserve">16. </t>
  </si>
  <si>
    <t>Jumlah netto pembiayaan tahun anggaran 2023 adalah sebagai berikut:</t>
  </si>
  <si>
    <t>Penerimaan Pembiayaan terdiri dari:</t>
  </si>
  <si>
    <t>1. SILPA tahun anggaran sebelumnya</t>
  </si>
  <si>
    <t>2. Pencairan Dana Cadangan</t>
  </si>
  <si>
    <t>3. Hasil Penjualan Kekayaan Desa yang dipisahkan</t>
  </si>
  <si>
    <t>Pengeluaran Pembiayaan terdiri dari:</t>
  </si>
  <si>
    <t>1. Pembentukan Dana Cadangan</t>
  </si>
  <si>
    <t>2. Penyertaan Modal Desa</t>
  </si>
  <si>
    <t xml:space="preserve">17. </t>
  </si>
  <si>
    <t>Perolehan aset desa adalah sebagai berikut,</t>
  </si>
  <si>
    <t>Penambahan/</t>
  </si>
  <si>
    <t>(Pengurangan)</t>
  </si>
  <si>
    <t>Tanah</t>
  </si>
  <si>
    <t>Peralatan dan Mesin</t>
  </si>
  <si>
    <t>Gedung dan Bangunan</t>
  </si>
  <si>
    <t>Jalan, irigasi, dan jaringan</t>
  </si>
  <si>
    <t>Aset Tetap lainnya</t>
  </si>
  <si>
    <t>Konstruksi dalam Pengerjaan</t>
  </si>
  <si>
    <t>Rincian aset Tetap untuk masing-masing klasifikasi diatas dapat dilihat pada lampiran T2C</t>
  </si>
  <si>
    <t xml:space="preserve">18. </t>
  </si>
  <si>
    <t>Pernyertaan Modal Kalurahan pada BUMKal adalah sebagai berikut,</t>
  </si>
  <si>
    <t>Penyertaan modal BUMKAL sudah di transfer dari tahun 2023 sebesar Rp. 5.000.000,00</t>
  </si>
  <si>
    <t>Giring,      Januari 2025</t>
  </si>
  <si>
    <t>JOKO TIRTO WIBOWO</t>
  </si>
  <si>
    <t>LAMPIRAN II</t>
  </si>
  <si>
    <t>NOMOR 1 TAHUN 2025</t>
  </si>
  <si>
    <t>LAPORAN PERTANGGUNGJAWABAN REALISASI ANGGARAN</t>
  </si>
  <si>
    <t>PENDAPATAN DAN BELANJA KALURAHAN TAHUN 2024</t>
  </si>
  <si>
    <t>LAPORAN REALISASI PELAKSANAAN ANGGARAN PENDAPATAN DAN BELANJA DESA BULANAN
PEMERINTAH KALURAHAN GIRING
TAHUN ANGGARAN 2024</t>
  </si>
  <si>
    <t>PERIODE :  DESEMBER  2024</t>
  </si>
  <si>
    <r>
      <rPr>
        <b/>
        <sz val="7"/>
        <rFont val="Arial"/>
        <charset val="134"/>
      </rPr>
      <t>KODE REKENING</t>
    </r>
  </si>
  <si>
    <t>URAIAN</t>
  </si>
  <si>
    <t>NAMA OUTPUT</t>
  </si>
  <si>
    <t>RENCANA</t>
  </si>
  <si>
    <t>REALISASI</t>
  </si>
  <si>
    <t>SUMBER DANA</t>
  </si>
  <si>
    <t>VOLUME</t>
  </si>
  <si>
    <t>SATUAN</t>
  </si>
  <si>
    <t>ANGGARAN</t>
  </si>
  <si>
    <t>CAPAIAN</t>
  </si>
  <si>
    <t>DANA DESA</t>
  </si>
  <si>
    <t>ALOKASI DANA DEDSA</t>
  </si>
  <si>
    <t>LAIN LAIN</t>
  </si>
  <si>
    <t>SUMBER LAIN</t>
  </si>
  <si>
    <t xml:space="preserve">Pendapatan </t>
  </si>
  <si>
    <r>
      <rPr>
        <b/>
        <sz val="7"/>
        <rFont val="Arial"/>
        <charset val="134"/>
      </rPr>
      <t>4.1.</t>
    </r>
  </si>
  <si>
    <r>
      <rPr>
        <b/>
        <i/>
        <sz val="7"/>
        <rFont val="Arial"/>
        <charset val="134"/>
      </rPr>
      <t>4.1.2.</t>
    </r>
  </si>
  <si>
    <r>
      <rPr>
        <sz val="7"/>
        <rFont val="Arial"/>
        <charset val="134"/>
      </rPr>
      <t>4.1.2.07.</t>
    </r>
  </si>
  <si>
    <t xml:space="preserve">        Hasil  kios milik desa</t>
  </si>
  <si>
    <r>
      <rPr>
        <b/>
        <i/>
        <sz val="7"/>
        <rFont val="Arial"/>
        <charset val="134"/>
      </rPr>
      <t>4.1.4.</t>
    </r>
  </si>
  <si>
    <t>Lain-lain Pendapatan Asli Desa</t>
  </si>
  <si>
    <r>
      <rPr>
        <sz val="7"/>
        <rFont val="Arial"/>
        <charset val="134"/>
      </rPr>
      <t>4.1.4.96.</t>
    </r>
  </si>
  <si>
    <t xml:space="preserve">       Hasil pengelolaan tanah kas desa</t>
  </si>
  <si>
    <r>
      <rPr>
        <b/>
        <sz val="7"/>
        <rFont val="Arial"/>
        <charset val="134"/>
      </rPr>
      <t>4.2.</t>
    </r>
  </si>
  <si>
    <r>
      <rPr>
        <b/>
        <i/>
        <sz val="7"/>
        <rFont val="Arial"/>
        <charset val="134"/>
      </rPr>
      <t>4.2.1.</t>
    </r>
  </si>
  <si>
    <r>
      <rPr>
        <sz val="7"/>
        <rFont val="Arial"/>
        <charset val="134"/>
      </rPr>
      <t>4.2.1.01.</t>
    </r>
  </si>
  <si>
    <t xml:space="preserve">       Dana Desa</t>
  </si>
  <si>
    <r>
      <rPr>
        <b/>
        <i/>
        <sz val="7"/>
        <rFont val="Arial"/>
        <charset val="134"/>
      </rPr>
      <t>4.2.2.</t>
    </r>
  </si>
  <si>
    <t>Bagi Hasil Pajak dan Retribusi</t>
  </si>
  <si>
    <r>
      <rPr>
        <sz val="7"/>
        <rFont val="Arial"/>
        <charset val="134"/>
      </rPr>
      <t>4.2.2.01.</t>
    </r>
  </si>
  <si>
    <t xml:space="preserve">        Bagi hasil Pajak dan retribusi</t>
  </si>
  <si>
    <r>
      <rPr>
        <b/>
        <i/>
        <sz val="7"/>
        <rFont val="Arial"/>
        <charset val="134"/>
      </rPr>
      <t>4.2.3.</t>
    </r>
  </si>
  <si>
    <r>
      <rPr>
        <sz val="7"/>
        <rFont val="Arial"/>
        <charset val="134"/>
      </rPr>
      <t>4.2.3.01.</t>
    </r>
  </si>
  <si>
    <t xml:space="preserve">      Alokasi Dana Desa</t>
  </si>
  <si>
    <r>
      <rPr>
        <b/>
        <i/>
        <sz val="7"/>
        <rFont val="Arial"/>
        <charset val="134"/>
      </rPr>
      <t>4.2.4.</t>
    </r>
  </si>
  <si>
    <r>
      <rPr>
        <sz val="7"/>
        <rFont val="Arial"/>
        <charset val="134"/>
      </rPr>
      <t>4.2.4.01.</t>
    </r>
  </si>
  <si>
    <t xml:space="preserve">     Bantuan Keuangan dari APBD Propinsi</t>
  </si>
  <si>
    <r>
      <rPr>
        <b/>
        <sz val="7"/>
        <rFont val="Arial"/>
        <charset val="134"/>
      </rPr>
      <t>4.3.</t>
    </r>
  </si>
  <si>
    <t>Pendapatanlain-lain</t>
  </si>
  <si>
    <r>
      <rPr>
        <b/>
        <i/>
        <sz val="7"/>
        <rFont val="Arial"/>
        <charset val="134"/>
      </rPr>
      <t>4.3.6.</t>
    </r>
  </si>
  <si>
    <t>bunga Bank</t>
  </si>
  <si>
    <r>
      <rPr>
        <sz val="7"/>
        <rFont val="Arial"/>
        <charset val="134"/>
      </rPr>
      <t>4.3.6.01.</t>
    </r>
  </si>
  <si>
    <t xml:space="preserve">      Bunga bank</t>
  </si>
  <si>
    <r>
      <rPr>
        <b/>
        <i/>
        <sz val="7"/>
        <rFont val="Arial"/>
        <charset val="134"/>
      </rPr>
      <t>4.3.7.</t>
    </r>
  </si>
  <si>
    <t>Lain-lain pendapatan desa ygn sah</t>
  </si>
  <si>
    <t>Sumbangan Pihak Ketiga</t>
  </si>
  <si>
    <t>Belanja</t>
  </si>
  <si>
    <t>BIDANG PENYELENGGARAN PEMERINTAH DESA</t>
  </si>
  <si>
    <r>
      <rPr>
        <b/>
        <u/>
        <sz val="7"/>
        <rFont val="Arial"/>
        <charset val="134"/>
      </rPr>
      <t>01.01.</t>
    </r>
  </si>
  <si>
    <t>Penyelenggaraan Belanja Siltap, Tunjangan dan operasional Pemerintahan</t>
  </si>
  <si>
    <r>
      <rPr>
        <b/>
        <sz val="7"/>
        <rFont val="Arial"/>
        <charset val="134"/>
      </rPr>
      <t>01.01.01.</t>
    </r>
  </si>
  <si>
    <t>Penyediaan penghasilan Tetap dan Tunjangan Kepala Desa</t>
  </si>
  <si>
    <r>
      <rPr>
        <b/>
        <sz val="7"/>
        <rFont val="Arial"/>
        <charset val="134"/>
      </rPr>
      <t>5.1.</t>
    </r>
  </si>
  <si>
    <r>
      <rPr>
        <b/>
        <i/>
        <sz val="7"/>
        <rFont val="Arial"/>
        <charset val="134"/>
      </rPr>
      <t>5.1.1.</t>
    </r>
  </si>
  <si>
    <t>Penhasilan Tetap dan Tunjangan kepala Desa</t>
  </si>
  <si>
    <r>
      <rPr>
        <sz val="7"/>
        <rFont val="Arial"/>
        <charset val="134"/>
      </rPr>
      <t>5.1.1.1.</t>
    </r>
  </si>
  <si>
    <t xml:space="preserve">       Penghasilan tetap kepala Desa</t>
  </si>
  <si>
    <r>
      <rPr>
        <sz val="7"/>
        <rFont val="Arial"/>
        <charset val="134"/>
      </rPr>
      <t>5.1.1.2.</t>
    </r>
  </si>
  <si>
    <t xml:space="preserve">       tunjangan kepala Desa</t>
  </si>
  <si>
    <r>
      <rPr>
        <b/>
        <sz val="7"/>
        <rFont val="Arial"/>
        <charset val="134"/>
      </rPr>
      <t>01.01.02.</t>
    </r>
  </si>
  <si>
    <t>Penyediaan penghasilan Tetap dan Tunjangan Perangkat Desa</t>
  </si>
  <si>
    <r>
      <rPr>
        <b/>
        <i/>
        <sz val="7"/>
        <rFont val="Arial"/>
        <charset val="134"/>
      </rPr>
      <t>5.1.2.</t>
    </r>
  </si>
  <si>
    <t>Penghasilan tetap dan Tunjangan perangkat Desa</t>
  </si>
  <si>
    <r>
      <rPr>
        <sz val="7"/>
        <rFont val="Arial"/>
        <charset val="134"/>
      </rPr>
      <t>5.1.2.1.</t>
    </r>
  </si>
  <si>
    <t xml:space="preserve">      Penghasilan tetap perangkat Desa</t>
  </si>
  <si>
    <r>
      <rPr>
        <sz val="7"/>
        <rFont val="Arial"/>
        <charset val="134"/>
      </rPr>
      <t>5.1.2.2.</t>
    </r>
  </si>
  <si>
    <t xml:space="preserve">     Tunjangan Perangkat Desa</t>
  </si>
  <si>
    <r>
      <rPr>
        <b/>
        <sz val="7"/>
        <rFont val="Arial"/>
        <charset val="134"/>
      </rPr>
      <t>01.01.03.</t>
    </r>
  </si>
  <si>
    <t>Penyediaan jaminan Sosial bagi Kepala Desa dan Perangkat Desa</t>
  </si>
  <si>
    <r>
      <rPr>
        <b/>
        <i/>
        <sz val="7"/>
        <rFont val="Arial"/>
        <charset val="134"/>
      </rPr>
      <t>5.1.3.</t>
    </r>
  </si>
  <si>
    <t>Jaminan Sosial Kepala Desa dan Perangkat Desa</t>
  </si>
  <si>
    <r>
      <rPr>
        <sz val="7"/>
        <rFont val="Arial"/>
        <charset val="134"/>
      </rPr>
      <t>5.1.3.2.</t>
    </r>
  </si>
  <si>
    <t xml:space="preserve">     Jaminan kesehatan perangkat desa</t>
  </si>
  <si>
    <r>
      <rPr>
        <sz val="7"/>
        <rFont val="Arial"/>
        <charset val="134"/>
      </rPr>
      <t>5.1.3.3.</t>
    </r>
  </si>
  <si>
    <t xml:space="preserve">     Jaminan ketenagakerjaan Kepala Desa</t>
  </si>
  <si>
    <r>
      <rPr>
        <sz val="7"/>
        <rFont val="Arial"/>
        <charset val="134"/>
      </rPr>
      <t>5.1.3.4.</t>
    </r>
  </si>
  <si>
    <t xml:space="preserve">    Jaminan ketenagakerjaan Perangkat Desa</t>
  </si>
  <si>
    <r>
      <rPr>
        <b/>
        <sz val="7"/>
        <rFont val="Arial"/>
        <charset val="134"/>
      </rPr>
      <t>01.01.04.</t>
    </r>
  </si>
  <si>
    <t>Penyediaan operasionalPemerintah desa (ATK honor, PPKPD dan)</t>
  </si>
  <si>
    <r>
      <rPr>
        <b/>
        <sz val="7"/>
        <rFont val="Arial"/>
        <charset val="134"/>
      </rPr>
      <t>5.2.</t>
    </r>
  </si>
  <si>
    <t>Belanja barang dan jasa</t>
  </si>
  <si>
    <r>
      <rPr>
        <b/>
        <i/>
        <sz val="7"/>
        <rFont val="Arial"/>
        <charset val="134"/>
      </rPr>
      <t>5.2.1.</t>
    </r>
  </si>
  <si>
    <t xml:space="preserve">Belanja Barang Perlengkapan </t>
  </si>
  <si>
    <r>
      <rPr>
        <sz val="7"/>
        <rFont val="Arial"/>
        <charset val="134"/>
      </rPr>
      <t>5.2.1.1.</t>
    </r>
  </si>
  <si>
    <t xml:space="preserve">      Belanja Alat Tulis Kantor dan Benda pos</t>
  </si>
  <si>
    <r>
      <rPr>
        <sz val="7"/>
        <rFont val="Arial"/>
        <charset val="134"/>
      </rPr>
      <t>5.2.1.3.</t>
    </r>
  </si>
  <si>
    <t xml:space="preserve">     Belanja perlengkapan alat rumah tangga dan bahan kebersihan</t>
  </si>
  <si>
    <r>
      <rPr>
        <sz val="7"/>
        <rFont val="Arial"/>
        <charset val="134"/>
      </rPr>
      <t>5.2.1.5.</t>
    </r>
  </si>
  <si>
    <t xml:space="preserve">      Belanja barang cetak dan penggandaan</t>
  </si>
  <si>
    <r>
      <rPr>
        <sz val="7"/>
        <rFont val="Arial"/>
        <charset val="134"/>
      </rPr>
      <t>5.2.1.6.</t>
    </r>
  </si>
  <si>
    <t xml:space="preserve">      Belanja barang konsumsi (makan/minum)</t>
  </si>
  <si>
    <t>5.2.1.99.</t>
  </si>
  <si>
    <t xml:space="preserve">     Belanja barang perlengkapan lainnya</t>
  </si>
  <si>
    <r>
      <rPr>
        <b/>
        <i/>
        <sz val="7"/>
        <rFont val="Arial"/>
        <charset val="134"/>
      </rPr>
      <t>5.2.2.</t>
    </r>
  </si>
  <si>
    <t xml:space="preserve">Belanja jasa honorarium   </t>
  </si>
  <si>
    <r>
      <rPr>
        <sz val="7"/>
        <rFont val="Arial"/>
        <charset val="134"/>
      </rPr>
      <t>5.2.2.7.</t>
    </r>
  </si>
  <si>
    <t xml:space="preserve">       Belanja jasa honorarium staf administrasi BPD</t>
  </si>
  <si>
    <r>
      <rPr>
        <sz val="7"/>
        <rFont val="Arial"/>
        <charset val="134"/>
      </rPr>
      <t>5.2.2.99.</t>
    </r>
  </si>
  <si>
    <t xml:space="preserve">       Belanja jasa honorarium lainnya</t>
  </si>
  <si>
    <r>
      <rPr>
        <b/>
        <i/>
        <sz val="7"/>
        <rFont val="Arial"/>
        <charset val="134"/>
      </rPr>
      <t>5.2.5.</t>
    </r>
  </si>
  <si>
    <t>Belanja operasional/perkantoran</t>
  </si>
  <si>
    <r>
      <rPr>
        <sz val="7"/>
        <rFont val="Arial"/>
        <charset val="134"/>
      </rPr>
      <t>5.2.5.1.</t>
    </r>
  </si>
  <si>
    <t xml:space="preserve">       Belanja jasa langgangan listrik</t>
  </si>
  <si>
    <r>
      <rPr>
        <sz val="7"/>
        <rFont val="Arial"/>
        <charset val="134"/>
      </rPr>
      <t>5.2.5.2.</t>
    </r>
  </si>
  <si>
    <t xml:space="preserve">       Belanja jasa langganan air bersih</t>
  </si>
  <si>
    <r>
      <rPr>
        <sz val="7"/>
        <rFont val="Arial"/>
        <charset val="134"/>
      </rPr>
      <t>5.2.5.7.</t>
    </r>
  </si>
  <si>
    <t xml:space="preserve">       Belanja jasa perpanjangan ijin/pajak</t>
  </si>
  <si>
    <r>
      <rPr>
        <sz val="7"/>
        <rFont val="Arial"/>
        <charset val="134"/>
      </rPr>
      <t>5.2.5.99.</t>
    </r>
  </si>
  <si>
    <t xml:space="preserve">       Belanja operasional perkantoranlainnya</t>
  </si>
  <si>
    <r>
      <rPr>
        <b/>
        <i/>
        <sz val="7"/>
        <rFont val="Arial"/>
        <charset val="134"/>
      </rPr>
      <t>5.2.6.</t>
    </r>
  </si>
  <si>
    <t>5.2.6.8</t>
  </si>
  <si>
    <t xml:space="preserve">     Belanja pemeliharaan jaringan dan instalasi (Listrik, telepon, internet)</t>
  </si>
  <si>
    <r>
      <rPr>
        <b/>
        <sz val="7"/>
        <rFont val="Arial"/>
        <charset val="134"/>
      </rPr>
      <t>01.01.05.</t>
    </r>
  </si>
  <si>
    <t>Penyediaan tunjangan BPD</t>
  </si>
  <si>
    <r>
      <rPr>
        <b/>
        <i/>
        <sz val="7"/>
        <rFont val="Arial"/>
        <charset val="134"/>
      </rPr>
      <t>5.1.4.</t>
    </r>
  </si>
  <si>
    <t>Tunjangan BPD</t>
  </si>
  <si>
    <r>
      <rPr>
        <sz val="7"/>
        <rFont val="Arial"/>
        <charset val="134"/>
      </rPr>
      <t>5.1.4.1.</t>
    </r>
  </si>
  <si>
    <t xml:space="preserve">      Tunjangan kedudukan BPD</t>
  </si>
  <si>
    <r>
      <rPr>
        <b/>
        <sz val="7"/>
        <rFont val="Arial"/>
        <charset val="134"/>
      </rPr>
      <t>01.01.06.</t>
    </r>
  </si>
  <si>
    <t>Penyediaan operaional BPD (rapat, atk, makan minum, pakaian seragam)</t>
  </si>
  <si>
    <t>Belanja barang perlengkapan</t>
  </si>
  <si>
    <t>Belanja jasa honorarium</t>
  </si>
  <si>
    <t xml:space="preserve">      Belanja jasa honorarium lainnya</t>
  </si>
  <si>
    <r>
      <rPr>
        <b/>
        <i/>
        <sz val="7"/>
        <rFont val="Arial"/>
        <charset val="134"/>
      </rPr>
      <t>5.2.3.</t>
    </r>
  </si>
  <si>
    <t>Belanja perjalanan dinas</t>
  </si>
  <si>
    <r>
      <rPr>
        <sz val="7"/>
        <rFont val="Arial"/>
        <charset val="134"/>
      </rPr>
      <t>5.2.3.1.</t>
    </r>
  </si>
  <si>
    <t xml:space="preserve">     Belanja perjalanan dinas dalam kabupaten/kota</t>
  </si>
  <si>
    <t>01.01.07.</t>
  </si>
  <si>
    <t>Penyediaan insentif / operasional RT/RW</t>
  </si>
  <si>
    <t>Belanja Opersional Perkantoran</t>
  </si>
  <si>
    <t xml:space="preserve">     Jaminan Ketenagakerjaan RT / RW</t>
  </si>
  <si>
    <r>
      <rPr>
        <b/>
        <sz val="7"/>
        <rFont val="Arial"/>
        <charset val="134"/>
      </rPr>
      <t>01.01.08.</t>
    </r>
  </si>
  <si>
    <t>Penyediaan operasional Pemerintah desa yang bersumber dari Dana Desa</t>
  </si>
  <si>
    <t xml:space="preserve">     Belanja barang konsumsi (makan/minum)</t>
  </si>
  <si>
    <r>
      <rPr>
        <b/>
        <u/>
        <sz val="7"/>
        <rFont val="Arial"/>
        <charset val="134"/>
      </rPr>
      <t>01.02.</t>
    </r>
  </si>
  <si>
    <t>Penyediaan Sarana Prasarana Pemerintah Desa</t>
  </si>
  <si>
    <r>
      <rPr>
        <b/>
        <sz val="7"/>
        <rFont val="Arial"/>
        <charset val="134"/>
      </rPr>
      <t>01.02.02.</t>
    </r>
  </si>
  <si>
    <t>Pemeliharaan Gedung/Prasarana kantor Desa</t>
  </si>
  <si>
    <t>5.3</t>
  </si>
  <si>
    <t>5.3.4</t>
  </si>
  <si>
    <t>Belanja modal Gedung, Bangunan dan Taman</t>
  </si>
  <si>
    <t>5.3.4.2.</t>
  </si>
  <si>
    <t xml:space="preserve">      Belanja modal gedung, bangunan, taman - upah tenaga kerja</t>
  </si>
  <si>
    <t>5.3.4.3.</t>
  </si>
  <si>
    <t xml:space="preserve">        Belanja Modal Gedung, Bangunan, Taman - Bahan baku / Material</t>
  </si>
  <si>
    <t>01.02.03.</t>
  </si>
  <si>
    <t>Pembangunan/rehabilitasi/peningatangedung/ Prasarana Gedung Kantor Desa</t>
  </si>
  <si>
    <r>
      <rPr>
        <b/>
        <sz val="7"/>
        <rFont val="Arial"/>
        <charset val="134"/>
      </rPr>
      <t>5.3.</t>
    </r>
  </si>
  <si>
    <t>Belanja modal</t>
  </si>
  <si>
    <t>Belanja Modal Gedung, Bangunan, dan Taman</t>
  </si>
  <si>
    <t xml:space="preserve">       Belanja moda gedung, Bangunan, Taman - Upah Tenaga Kerja</t>
  </si>
  <si>
    <t>01.02.90</t>
  </si>
  <si>
    <t>Pengadaan Peralatan Kerja</t>
  </si>
  <si>
    <t>5.2</t>
  </si>
  <si>
    <t>5.2.1</t>
  </si>
  <si>
    <t>Belanja barang Perlengkapan</t>
  </si>
  <si>
    <t xml:space="preserve">       Belanja barang perlengkapan lainnya</t>
  </si>
  <si>
    <t>5.3.2</t>
  </si>
  <si>
    <t>Belanja Modal Pengadaan Peralatan, Mesin dan Alat Berat</t>
  </si>
  <si>
    <t>5.3.2.3.</t>
  </si>
  <si>
    <t xml:space="preserve">      Belanja modal peralatan Komputer</t>
  </si>
  <si>
    <t>01.02.94</t>
  </si>
  <si>
    <t>Rehabilitasi/Pemeliharaan Kendaraan Dinas/Operasional</t>
  </si>
  <si>
    <t>Belanja Barang dan jasa</t>
  </si>
  <si>
    <t>5.2.5</t>
  </si>
  <si>
    <t>5.2.5.7.</t>
  </si>
  <si>
    <t xml:space="preserve">     Belanja jasa Perpanjangan ijin/pajak</t>
  </si>
  <si>
    <t>5.2.6</t>
  </si>
  <si>
    <t>5.2.6.2</t>
  </si>
  <si>
    <t xml:space="preserve">      Belanja Pemeliharaan Kendaraan Bermotor</t>
  </si>
  <si>
    <t>01.02.95</t>
  </si>
  <si>
    <t>Penediaan Jasa Perbaikan/Service Peralatan Kerja</t>
  </si>
  <si>
    <t>5.2.6.3</t>
  </si>
  <si>
    <t xml:space="preserve">      Belanja Pemeliharaan Peralatan</t>
  </si>
  <si>
    <t>01.02.88</t>
  </si>
  <si>
    <t>Lain-lain Sub Bidang sarana prasarana Pemerintah Desa</t>
  </si>
  <si>
    <t xml:space="preserve">      Belanja barang perlengkapan lainnya</t>
  </si>
  <si>
    <r>
      <rPr>
        <b/>
        <u/>
        <sz val="7"/>
        <rFont val="Arial"/>
        <charset val="134"/>
      </rPr>
      <t>01.03.</t>
    </r>
  </si>
  <si>
    <t>Pengelolaan Administrasi kependudukan pencatatan sipil, statistik dan kearsipan</t>
  </si>
  <si>
    <r>
      <rPr>
        <b/>
        <sz val="7"/>
        <rFont val="Arial"/>
        <charset val="134"/>
      </rPr>
      <t>01.03.02.</t>
    </r>
  </si>
  <si>
    <t>Penyusunan, pendataan dan Pemutakhiran Profil desa **))</t>
  </si>
  <si>
    <r>
      <rPr>
        <sz val="7"/>
        <rFont val="Arial"/>
        <charset val="134"/>
      </rPr>
      <t>5.2.2.4.</t>
    </r>
  </si>
  <si>
    <t xml:space="preserve">      Belanja jasa honorarium tenaga ahli/profesi/konsultan/narasumber</t>
  </si>
  <si>
    <r>
      <rPr>
        <sz val="7"/>
        <rFont val="Arial"/>
        <charset val="134"/>
      </rPr>
      <t>5.2.2.5.</t>
    </r>
  </si>
  <si>
    <t xml:space="preserve">     Belanja jasa honorarium petugas</t>
  </si>
  <si>
    <t>01.03.90.</t>
  </si>
  <si>
    <t>Penyusunan Monografi Desa</t>
  </si>
  <si>
    <t>01.03.91.</t>
  </si>
  <si>
    <t>Pendataan keluarga/rumah tangga miskin</t>
  </si>
  <si>
    <r>
      <rPr>
        <b/>
        <u/>
        <sz val="7"/>
        <rFont val="Arial"/>
        <charset val="134"/>
      </rPr>
      <t>01.04.</t>
    </r>
  </si>
  <si>
    <t xml:space="preserve">Penyelenggaraan tata praja pemerintahan, perencanaankeuangan dan </t>
  </si>
  <si>
    <t>01.04.01.</t>
  </si>
  <si>
    <t>Penyelenggaraan Musyawarah Perencanaan Desa/Pembahasan APBDes</t>
  </si>
  <si>
    <t>5.2.</t>
  </si>
  <si>
    <t>5.2.1.</t>
  </si>
  <si>
    <t>Belanja Barang Perlengkapan</t>
  </si>
  <si>
    <t>01.04.02.</t>
  </si>
  <si>
    <t xml:space="preserve">Penyelenggaran musyawarah desa lainnya (Musdus, rembug desa </t>
  </si>
  <si>
    <t>01.04.04.</t>
  </si>
  <si>
    <t>Penyusunan Dokumen Keuangan Desa (APBDes, APBDes Perubahan)</t>
  </si>
  <si>
    <t>01.04.05</t>
  </si>
  <si>
    <t>Pengelolaan Administrasi / inventarisasi/Penilaian Aset Desa</t>
  </si>
  <si>
    <t>5.2.1.1.</t>
  </si>
  <si>
    <t xml:space="preserve">     Belanja alat tulis kantor dan benda pos</t>
  </si>
  <si>
    <t>5.2.1.5.</t>
  </si>
  <si>
    <t xml:space="preserve">     Belanja barang cetak dan Penggandaan</t>
  </si>
  <si>
    <t>5.2.1.6.</t>
  </si>
  <si>
    <t xml:space="preserve">    Belanja barang konsumsi (makan/minum)</t>
  </si>
  <si>
    <t>5.2.2</t>
  </si>
  <si>
    <t>5.2.2.1</t>
  </si>
  <si>
    <t xml:space="preserve">     Belanja jasa honorarium Tim Pelaksana Kegiatan</t>
  </si>
  <si>
    <t>5.2.2.4.</t>
  </si>
  <si>
    <t xml:space="preserve">     Belanja jasa Honorarium Tenaga Ahli / Profesi /Konsultan/Narasumber</t>
  </si>
  <si>
    <t>5.2.3</t>
  </si>
  <si>
    <t>5.2.3.1.</t>
  </si>
  <si>
    <t xml:space="preserve">     Belanja Perjalanan Dinas Dalam Kabupaten / Kota</t>
  </si>
  <si>
    <t>01.04.07.</t>
  </si>
  <si>
    <t>Penyusunan Laporan Kepala Desa, LPP Desa, dan Inforasi Kependudukan</t>
  </si>
  <si>
    <t>01.04.08.</t>
  </si>
  <si>
    <t>Pengembangan Sistem Informasi Desa</t>
  </si>
  <si>
    <t>5.2.11</t>
  </si>
  <si>
    <t xml:space="preserve">      Belanja alat tulis kantor dan Benda Pos</t>
  </si>
  <si>
    <t>5.2.2.</t>
  </si>
  <si>
    <t xml:space="preserve">      Belanja jasa honorarium petugas</t>
  </si>
  <si>
    <t>01.04.91.</t>
  </si>
  <si>
    <t>Pengisian perangkat desa</t>
  </si>
  <si>
    <r>
      <rPr>
        <sz val="7"/>
        <rFont val="Arial"/>
        <charset val="134"/>
      </rPr>
      <t>5.2.1.99.</t>
    </r>
  </si>
  <si>
    <t>5.2.4.</t>
  </si>
  <si>
    <t>Belanja jasa sewa</t>
  </si>
  <si>
    <r>
      <rPr>
        <sz val="7"/>
        <rFont val="Arial"/>
        <charset val="134"/>
      </rPr>
      <t>5.2.4.2.</t>
    </r>
  </si>
  <si>
    <t xml:space="preserve">      Belanja jasa sewa peralatan/perlengkapan</t>
  </si>
  <si>
    <t>01.05.</t>
  </si>
  <si>
    <t>Sub Bidang Pertanahan</t>
  </si>
  <si>
    <t>01.05.06.</t>
  </si>
  <si>
    <t>Administrasi Pajak Bumi dan Bangunan</t>
  </si>
  <si>
    <t xml:space="preserve">     Belanja jasa perpanjangan ijin/pajak</t>
  </si>
  <si>
    <t>BIDANG PELAKSANAAN PEMBANGUNAN DESA</t>
  </si>
  <si>
    <r>
      <rPr>
        <b/>
        <u/>
        <sz val="7"/>
        <rFont val="Arial"/>
        <charset val="134"/>
      </rPr>
      <t>02.01.</t>
    </r>
  </si>
  <si>
    <t>Sub bidang Pendidikan</t>
  </si>
  <si>
    <t>02.01.06</t>
  </si>
  <si>
    <t>Pembangunan/rehabilitasi/peningkatan/pengadaan sarana prasarana PAUD</t>
  </si>
  <si>
    <t>Belanja barang dan Jasa</t>
  </si>
  <si>
    <t>Belanja Barang perlengkapan</t>
  </si>
  <si>
    <r>
      <rPr>
        <b/>
        <u/>
        <sz val="7"/>
        <rFont val="Arial"/>
        <charset val="134"/>
      </rPr>
      <t>02.02.</t>
    </r>
  </si>
  <si>
    <t xml:space="preserve">Sub Bidang Kesehatan </t>
  </si>
  <si>
    <r>
      <rPr>
        <b/>
        <sz val="7"/>
        <rFont val="Arial"/>
        <charset val="134"/>
      </rPr>
      <t>02.02.02.</t>
    </r>
  </si>
  <si>
    <t>Penyelenggaraan Posyandu (Mkn Tambahan, Kls Bumil, Lansia dan Insentif</t>
  </si>
  <si>
    <r>
      <rPr>
        <b/>
        <i/>
        <sz val="7"/>
        <rFont val="Arial"/>
        <charset val="134"/>
      </rPr>
      <t>5.2.7.</t>
    </r>
  </si>
  <si>
    <t>Belanja barang dan jasayang diserahkan Kepada masyarakat</t>
  </si>
  <si>
    <r>
      <rPr>
        <sz val="7"/>
        <rFont val="Arial"/>
        <charset val="134"/>
      </rPr>
      <t>5.2.7.99.</t>
    </r>
  </si>
  <si>
    <t xml:space="preserve">       Belanja barang untuk diserahkan kepada masyarakat lainnya</t>
  </si>
  <si>
    <t>02.02.03</t>
  </si>
  <si>
    <t>Penyuluhan dan Pelatihan Bidang Kesehatan (Untuk Masy, Tenaga )</t>
  </si>
  <si>
    <t>5.22</t>
  </si>
  <si>
    <t>5.2.2.5.</t>
  </si>
  <si>
    <t>5.2.2.99.</t>
  </si>
  <si>
    <t>02.02.04.</t>
  </si>
  <si>
    <t>Penyelenggaraan Desa Siaga Kesehatan</t>
  </si>
  <si>
    <t>02.02.94.</t>
  </si>
  <si>
    <t>Pemberian Makanan Tambahan untuk balita/siswa PAUD</t>
  </si>
  <si>
    <t>5.2.7.</t>
  </si>
  <si>
    <t>Belanja barang dan jasa yang diserahkan keapda masyarakat</t>
  </si>
  <si>
    <t xml:space="preserve">      Belanja barang untuk diserahkan kepada masyarakat lainnya</t>
  </si>
  <si>
    <t>02.02.98.</t>
  </si>
  <si>
    <t>Insentif Kader KB / Kesehatan</t>
  </si>
  <si>
    <t>02.02.99</t>
  </si>
  <si>
    <t>Lain-lain Kegiatan Sub Bidang Kesehatan</t>
  </si>
  <si>
    <t xml:space="preserve">     Belanja barang cetak dan penggandaan</t>
  </si>
  <si>
    <t xml:space="preserve">     Belanja jasa honorarium tenaga ahli/profesi/konsultan/narasumber</t>
  </si>
  <si>
    <r>
      <rPr>
        <b/>
        <u/>
        <sz val="7"/>
        <rFont val="Arial"/>
        <charset val="134"/>
      </rPr>
      <t>02.03.</t>
    </r>
  </si>
  <si>
    <t>Sub Bidang Pekerjaan Umum dan Penataaan Ruang</t>
  </si>
  <si>
    <t>02.03.03</t>
  </si>
  <si>
    <t>Pemeliharaan Jalan Usaha Tani</t>
  </si>
  <si>
    <t>5.3.5</t>
  </si>
  <si>
    <t>Belanja Modal Gedung, Bangunan dan Taman</t>
  </si>
  <si>
    <t>5.3.5.2.</t>
  </si>
  <si>
    <t>02.03.10</t>
  </si>
  <si>
    <t>Pembangunan/Rehabilitasi/peningkatan/Pengerasan Jalan Desa</t>
  </si>
  <si>
    <t>5.3.2.99</t>
  </si>
  <si>
    <t xml:space="preserve">     Belanja Modal Peralatan, Mesin dan alat berat lainnya</t>
  </si>
  <si>
    <t>Belanja Modal Jalan/Prasarana Jalan</t>
  </si>
  <si>
    <r>
      <rPr>
        <sz val="7"/>
        <rFont val="Arial"/>
        <charset val="134"/>
      </rPr>
      <t>5.3.5.2.</t>
    </r>
  </si>
  <si>
    <t xml:space="preserve">      Belanja modal Jalan - upah tenaga kerja</t>
  </si>
  <si>
    <r>
      <rPr>
        <sz val="7"/>
        <rFont val="Arial"/>
        <charset val="134"/>
      </rPr>
      <t>5.3.5.3.</t>
    </r>
  </si>
  <si>
    <t xml:space="preserve">      Belanja modal jalan - bahan baku material</t>
  </si>
  <si>
    <t>02.03.11.</t>
  </si>
  <si>
    <t>Pembangunan/Rehabiltiasi/Peningkatan/Pengerasan/ jalan lingkungan Pemukiman</t>
  </si>
  <si>
    <t>5.3.</t>
  </si>
  <si>
    <t>5.3.5.</t>
  </si>
  <si>
    <t>Belanja Modal Jalan/prasarana Jalan</t>
  </si>
  <si>
    <t>5.3.5.1.</t>
  </si>
  <si>
    <t xml:space="preserve">      Belanja Modal Jalan - Honor Tim Pelaskana Kegiatan</t>
  </si>
  <si>
    <t>5.3.5.3.</t>
  </si>
  <si>
    <t>5.3.5.4</t>
  </si>
  <si>
    <t xml:space="preserve">      Belanja Modal Jalan - sewa peralatan</t>
  </si>
  <si>
    <t>5.3.5.5.</t>
  </si>
  <si>
    <t xml:space="preserve">     Belaja Modal Jalan - administrasi kegiatan</t>
  </si>
  <si>
    <r>
      <rPr>
        <b/>
        <sz val="7"/>
        <rFont val="Arial"/>
        <charset val="134"/>
      </rPr>
      <t>02.03.12.</t>
    </r>
  </si>
  <si>
    <t>Pembangunan/rehabilitasi/peningkatan/pengerasan Jalan Usaha Tani</t>
  </si>
  <si>
    <r>
      <rPr>
        <b/>
        <i/>
        <sz val="7"/>
        <rFont val="Arial"/>
        <charset val="134"/>
      </rPr>
      <t>5.3.5.</t>
    </r>
  </si>
  <si>
    <r>
      <rPr>
        <sz val="7"/>
        <rFont val="Arial"/>
        <charset val="134"/>
      </rPr>
      <t>5.3.5.1.</t>
    </r>
  </si>
  <si>
    <t xml:space="preserve">     Belanja Modal Jalan - Upah Tenaga Kerja</t>
  </si>
  <si>
    <t xml:space="preserve">     Belanja Modal Jalan - bahan baku material</t>
  </si>
  <si>
    <t>02.03.99</t>
  </si>
  <si>
    <t>Lain-lain Kegiatan Sub Bidang Pekerjaan umum dan Tata Ruang</t>
  </si>
  <si>
    <r>
      <rPr>
        <sz val="7"/>
        <rFont val="Arial"/>
        <charset val="134"/>
      </rPr>
      <t>5.3.5.5.</t>
    </r>
  </si>
  <si>
    <t xml:space="preserve">     Belanja Modal Jalan - administrasi kegaitan</t>
  </si>
  <si>
    <r>
      <rPr>
        <b/>
        <u/>
        <sz val="7"/>
        <rFont val="Arial"/>
        <charset val="134"/>
      </rPr>
      <t>02.08.</t>
    </r>
  </si>
  <si>
    <r>
      <rPr>
        <b/>
        <sz val="7"/>
        <rFont val="Arial"/>
        <charset val="134"/>
      </rPr>
      <t>02.08.02.</t>
    </r>
  </si>
  <si>
    <t>Pembangunan/rehabilitasi/peningkatan sarana dan prasarana pariwisata milik desa</t>
  </si>
  <si>
    <t xml:space="preserve">      Belaja Modal Peralatan, Mesin dan alat berat lainnya</t>
  </si>
  <si>
    <t xml:space="preserve">       Belanja Modal Jalan - Bahan Baku / Material</t>
  </si>
  <si>
    <t>5.3.7</t>
  </si>
  <si>
    <t>Belanja Modal Irigasi/Embung/Drainase/Air Limbah/Persampahan</t>
  </si>
  <si>
    <t>5.3.7.2</t>
  </si>
  <si>
    <t xml:space="preserve">     Belanja Modal Irigasi/Embung/Drainase/dll - Upah Tenaga Kerja</t>
  </si>
  <si>
    <t>5.3.7.3</t>
  </si>
  <si>
    <t xml:space="preserve">     Belanja Modal Irigasi/Embung/Drainase/dll - bahan Baku Material</t>
  </si>
  <si>
    <t>02.08.93.</t>
  </si>
  <si>
    <t>Pembangunan/rehabilitasi Rest Area milik desa</t>
  </si>
  <si>
    <t xml:space="preserve">    Belanja Modal Peralatan Mesin dan alat berat lainnya</t>
  </si>
  <si>
    <t>Belanja Modal Gedung bangunan dan Taman</t>
  </si>
  <si>
    <t xml:space="preserve">     Belanja modal Gedung, Bangunan , taman - Upah Tenaga kerja</t>
  </si>
  <si>
    <t xml:space="preserve">     Belanja modal Gedung, Bangunan , taman - bahan baku material</t>
  </si>
  <si>
    <t>02.08.99</t>
  </si>
  <si>
    <t>Lain-lain Kegiatan Sub Bidang Pariwisata</t>
  </si>
  <si>
    <t>5..3</t>
  </si>
  <si>
    <t xml:space="preserve">      Belanja Modal Peralatan, mesin dan alat berat laiinya</t>
  </si>
  <si>
    <t>5.3.8</t>
  </si>
  <si>
    <t>Belanja Modal Jaringan/instalasi</t>
  </si>
  <si>
    <t>5.3.8.2</t>
  </si>
  <si>
    <t xml:space="preserve">     Belanja modal jaringan/instalasi - upah tenaga kerja</t>
  </si>
  <si>
    <t>5.3.8.3</t>
  </si>
  <si>
    <t xml:space="preserve">     Belanja Modal Jaringan/instalasi - bahan baku material</t>
  </si>
  <si>
    <t>5.3.9</t>
  </si>
  <si>
    <t>Belanja modal lainnya</t>
  </si>
  <si>
    <t>5.3.9.99.</t>
  </si>
  <si>
    <t xml:space="preserve">     Belanja Modal Lainnya</t>
  </si>
  <si>
    <t>BIDANG PEMBINAAN KEMASYARAKATAN</t>
  </si>
  <si>
    <r>
      <rPr>
        <b/>
        <u/>
        <sz val="7"/>
        <rFont val="Arial"/>
        <charset val="134"/>
      </rPr>
      <t>03.02.</t>
    </r>
  </si>
  <si>
    <t>Sub Bidang Kebudayaan dan Keagamaan</t>
  </si>
  <si>
    <t>03.02.04</t>
  </si>
  <si>
    <t>Pemeliharaan sarana prasarana kebudayaan, rumah adat, dan keagamaan</t>
  </si>
  <si>
    <t>5.2.6.99</t>
  </si>
  <si>
    <t xml:space="preserve">     Belanja pemeliharaan lainnya</t>
  </si>
  <si>
    <r>
      <rPr>
        <b/>
        <sz val="7"/>
        <rFont val="Arial"/>
        <charset val="134"/>
      </rPr>
      <t>03.02.92.</t>
    </r>
  </si>
  <si>
    <t>Pelaksanaan upacara adat /tradisi daerah tingkat desa</t>
  </si>
  <si>
    <r>
      <rPr>
        <b/>
        <i/>
        <sz val="7"/>
        <rFont val="Arial"/>
        <charset val="134"/>
      </rPr>
      <t>5.2.4.</t>
    </r>
  </si>
  <si>
    <r>
      <rPr>
        <sz val="7"/>
        <rFont val="Arial"/>
        <charset val="134"/>
      </rPr>
      <t>5.2.4.3.</t>
    </r>
  </si>
  <si>
    <t xml:space="preserve">     Belanja jasa sewa sarana mobilitas</t>
  </si>
  <si>
    <t>03.02.99</t>
  </si>
  <si>
    <t>Lain-lain Kegiatan sub bidang kebudayaan dan keagamnaan</t>
  </si>
  <si>
    <t>5.3.2.4</t>
  </si>
  <si>
    <t xml:space="preserve">      Belanja Modal Peraltan mabelair dan aksesoris ruangan</t>
  </si>
  <si>
    <t>Belanja Modal Lainnya</t>
  </si>
  <si>
    <t>5.3.9.3</t>
  </si>
  <si>
    <t xml:space="preserve">     Belanja modal khusus kesenian/kebudayaan /keagamaan</t>
  </si>
  <si>
    <r>
      <rPr>
        <b/>
        <u/>
        <sz val="7"/>
        <rFont val="Arial"/>
        <charset val="134"/>
      </rPr>
      <t>03.03.</t>
    </r>
  </si>
  <si>
    <t>Sub Bidang Kepemudaan dan Olahraga</t>
  </si>
  <si>
    <t>03.03.90</t>
  </si>
  <si>
    <t>Pelaksanaan peringatan Hari besar nasional</t>
  </si>
  <si>
    <t>5.2.1.8</t>
  </si>
  <si>
    <t xml:space="preserve">     Belanja bendera/ umbul-umbul/spanduk</t>
  </si>
  <si>
    <r>
      <rPr>
        <b/>
        <sz val="7"/>
        <rFont val="Arial"/>
        <charset val="134"/>
      </rPr>
      <t>03.03.93.</t>
    </r>
  </si>
  <si>
    <t>Operasional Karang Taruna</t>
  </si>
  <si>
    <t xml:space="preserve">      Belanja perjalanan dinas dalam kabupaten/kota</t>
  </si>
  <si>
    <r>
      <rPr>
        <b/>
        <u/>
        <sz val="7"/>
        <rFont val="Arial"/>
        <charset val="134"/>
      </rPr>
      <t>03.04.</t>
    </r>
  </si>
  <si>
    <r>
      <rPr>
        <b/>
        <sz val="7"/>
        <rFont val="Arial"/>
        <charset val="134"/>
      </rPr>
      <t>03.04.95.</t>
    </r>
  </si>
  <si>
    <t>Operasional LPMD dan atau LPMD</t>
  </si>
  <si>
    <t xml:space="preserve">     Belanja perjalnan dinas dalam kabupaten/kota</t>
  </si>
  <si>
    <r>
      <rPr>
        <b/>
        <sz val="7"/>
        <rFont val="Arial"/>
        <charset val="134"/>
      </rPr>
      <t>03.04.96.</t>
    </r>
  </si>
  <si>
    <t>Operasional PKK</t>
  </si>
  <si>
    <t>BIDANG PEMBERDAYAAN MASYARAKAT</t>
  </si>
  <si>
    <r>
      <rPr>
        <b/>
        <u/>
        <sz val="7"/>
        <rFont val="Arial"/>
        <charset val="134"/>
      </rPr>
      <t>04.02.</t>
    </r>
  </si>
  <si>
    <t>Sub Bidang Pertanian dan peternakan</t>
  </si>
  <si>
    <t>04.02.03.</t>
  </si>
  <si>
    <t>Penguatan ketahanan pangan Tingkat desa (Lumbung desa dll)</t>
  </si>
  <si>
    <r>
      <rPr>
        <sz val="7"/>
        <rFont val="Arial"/>
        <charset val="134"/>
      </rPr>
      <t>5.2.7.5.</t>
    </r>
  </si>
  <si>
    <t xml:space="preserve">      Belanja bantuan Bibit tanaman/hewan/ikan</t>
  </si>
  <si>
    <r>
      <rPr>
        <b/>
        <sz val="7"/>
        <rFont val="Arial"/>
        <charset val="134"/>
      </rPr>
      <t>04.02.99.</t>
    </r>
  </si>
  <si>
    <t>Lain-lain Sub Bidang Pertanian dan peternakan</t>
  </si>
  <si>
    <t>BIDANG PENANGGULANGAN BENCANA DARURAT DAN MENDESAK DESA</t>
  </si>
  <si>
    <t>05.02</t>
  </si>
  <si>
    <t>05.02.00</t>
  </si>
  <si>
    <t>Penanganan Keadaan Darurat</t>
  </si>
  <si>
    <r>
      <rPr>
        <b/>
        <sz val="7"/>
        <rFont val="Arial"/>
        <charset val="134"/>
      </rPr>
      <t>5.4.</t>
    </r>
  </si>
  <si>
    <r>
      <rPr>
        <b/>
        <i/>
        <sz val="7"/>
        <rFont val="Arial"/>
        <charset val="134"/>
      </rPr>
      <t>5.4.1.</t>
    </r>
  </si>
  <si>
    <r>
      <rPr>
        <sz val="7"/>
        <rFont val="Arial"/>
        <charset val="134"/>
      </rPr>
      <t>5.4.1.1.</t>
    </r>
  </si>
  <si>
    <t xml:space="preserve">      Belanja Tidak Terduga</t>
  </si>
  <si>
    <r>
      <rPr>
        <b/>
        <u/>
        <sz val="7"/>
        <rFont val="Arial"/>
        <charset val="134"/>
      </rPr>
      <t>05.03.</t>
    </r>
  </si>
  <si>
    <t>Sub Bidang Keadaan Mendesak</t>
  </si>
  <si>
    <r>
      <rPr>
        <b/>
        <sz val="7"/>
        <rFont val="Arial"/>
        <charset val="134"/>
      </rPr>
      <t>05.03.00.</t>
    </r>
  </si>
  <si>
    <t>Penangannan keadan mendesak</t>
  </si>
  <si>
    <t>SURPLUS / (DEFISIT)</t>
  </si>
  <si>
    <t>PenerimaanPembiayaan</t>
  </si>
  <si>
    <t>Silpa Tahun Sebelumnya</t>
  </si>
  <si>
    <t xml:space="preserve">     Silpa Tahun Sebelumnya</t>
  </si>
  <si>
    <t xml:space="preserve">    Penyertaan Modal Desa</t>
  </si>
  <si>
    <t>Sisa Lebih Pembiayaan Anggaran</t>
  </si>
  <si>
    <t xml:space="preserve">Mengetahui </t>
  </si>
  <si>
    <t>Giring,  31 Januari 2025</t>
  </si>
  <si>
    <t>Lurah Giring</t>
  </si>
  <si>
    <t>Danarta</t>
  </si>
  <si>
    <t>DWI INDARTI YULIATUN</t>
  </si>
  <si>
    <t>PERATURAN LURAH GIRING</t>
  </si>
  <si>
    <t>NOMOR  1  TAHUN 2025</t>
  </si>
  <si>
    <t xml:space="preserve">PENDAPATAN DAN BELANJA KALURAHAN </t>
  </si>
  <si>
    <t>PROGRAM SEKTORAL, PROGRAM DAERAH , DAN PROGRAM LAINNYA</t>
  </si>
  <si>
    <t>YANG MASUK KE DESA</t>
  </si>
  <si>
    <t>DESA</t>
  </si>
  <si>
    <t>: GIRING</t>
  </si>
  <si>
    <t>KECAMATAN</t>
  </si>
  <si>
    <t>: PALIYAN</t>
  </si>
  <si>
    <t>KABUPATEN</t>
  </si>
  <si>
    <t>: GUNUNGKIDUL</t>
  </si>
  <si>
    <t xml:space="preserve">PROPINSI </t>
  </si>
  <si>
    <t>: DIY</t>
  </si>
  <si>
    <t>NO</t>
  </si>
  <si>
    <t>PROGRAM</t>
  </si>
  <si>
    <t>KEGIATAN</t>
  </si>
  <si>
    <t xml:space="preserve">JENIS </t>
  </si>
  <si>
    <t>LOKASI</t>
  </si>
  <si>
    <t>JUMLAH</t>
  </si>
  <si>
    <t>Perbaikan Telaga Kepuh</t>
  </si>
  <si>
    <t>Rehabilitasi Telaga dengan penambahan Membran anti resapan</t>
  </si>
  <si>
    <t>Pengos</t>
  </si>
  <si>
    <t>Buah</t>
  </si>
  <si>
    <t>APBD Provinsi</t>
  </si>
  <si>
    <t>Pengaspalan Jalan Nasri - Karangasem</t>
  </si>
  <si>
    <t>Pengaspalan</t>
  </si>
  <si>
    <t>Nasri</t>
  </si>
  <si>
    <t xml:space="preserve">DAK </t>
  </si>
  <si>
    <t>Lampu Penerangan Jalan Kabupaten Giring-Paliyan</t>
  </si>
  <si>
    <t>Lampu Penerangan Jalan</t>
  </si>
  <si>
    <t>Jalan Giring-Paliyan</t>
  </si>
  <si>
    <t>APBD</t>
  </si>
  <si>
    <t>T.2.c. Format Rincian Aset Tetap Desa</t>
  </si>
  <si>
    <t>Kapanewaon Paliyan, Kabupaten Gunungkidul</t>
  </si>
  <si>
    <t>Rincian Aset Tetap Desa per 31 Desember 2024</t>
  </si>
  <si>
    <t>No.</t>
  </si>
  <si>
    <t>Klas Aset dan Nama/Identitas Aset Tetap</t>
  </si>
  <si>
    <t>Bukti Kepemilikan</t>
  </si>
  <si>
    <t>Kode Aset Tetap</t>
  </si>
  <si>
    <t>Tahun Perolehan</t>
  </si>
  <si>
    <t>Nilai Perolehan</t>
  </si>
  <si>
    <t>Kondisi Aset Tetap*)</t>
  </si>
  <si>
    <t>Keterangan</t>
  </si>
  <si>
    <t>Jenis</t>
  </si>
  <si>
    <t>Nomor</t>
  </si>
  <si>
    <t>Tanggal</t>
  </si>
  <si>
    <t>I.</t>
  </si>
  <si>
    <t>Tanah Kas Desa/Bengkok</t>
  </si>
  <si>
    <t>-</t>
  </si>
  <si>
    <t>Tanah Untuk Fasilitas Umum</t>
  </si>
  <si>
    <t>Alat-alat Angkutan</t>
  </si>
  <si>
    <t>Honda Kirana 125 cc No. Polisi AB 2836 DW, Supra x 125 Injek No. Polisi AB 6244 ID</t>
  </si>
  <si>
    <t>BPKB</t>
  </si>
  <si>
    <t>3.2.2.05.01</t>
  </si>
  <si>
    <t>Baik</t>
  </si>
  <si>
    <t>2 Buah</t>
  </si>
  <si>
    <t>Peralatan Kantor</t>
  </si>
  <si>
    <t>Antropometri Kit</t>
  </si>
  <si>
    <t>1.3.3.07.07</t>
  </si>
  <si>
    <t>baik</t>
  </si>
  <si>
    <t>9 Buah</t>
  </si>
  <si>
    <t>TV LG 21 inc</t>
  </si>
  <si>
    <t>1 Buah</t>
  </si>
  <si>
    <t>TV Sharp 32 inc</t>
  </si>
  <si>
    <t>1.3.2.05.02</t>
  </si>
  <si>
    <t>TV Advance 14 inc</t>
  </si>
  <si>
    <t>1.3.2.05.11</t>
  </si>
  <si>
    <t xml:space="preserve">Mesin ketik </t>
  </si>
  <si>
    <t>1.3.2.05.04</t>
  </si>
  <si>
    <t>Kiaps Angin  Maspion Tempel</t>
  </si>
  <si>
    <t>6 Buah</t>
  </si>
  <si>
    <t xml:space="preserve">Kipas Angin Duduk </t>
  </si>
  <si>
    <t>1.3.2.06.05</t>
  </si>
  <si>
    <t>1 buah</t>
  </si>
  <si>
    <t>Jam Dinding</t>
  </si>
  <si>
    <t>2 Rusak(1 Baik)</t>
  </si>
  <si>
    <t>3 buah</t>
  </si>
  <si>
    <t>Meja Pelayanan</t>
  </si>
  <si>
    <t>Kursi Putar</t>
  </si>
  <si>
    <t>8 Buah</t>
  </si>
  <si>
    <t>Kursi Kayu</t>
  </si>
  <si>
    <t>25 Buah</t>
  </si>
  <si>
    <t>Kursi Rapat</t>
  </si>
  <si>
    <t>2017&amp;2019</t>
  </si>
  <si>
    <t>83 Buah</t>
  </si>
  <si>
    <t>Kursi Taman</t>
  </si>
  <si>
    <t>4 Buah</t>
  </si>
  <si>
    <t>Lampu Taman</t>
  </si>
  <si>
    <t>10 Buah</t>
  </si>
  <si>
    <t>Lampu Sorot</t>
  </si>
  <si>
    <t>Etalase</t>
  </si>
  <si>
    <t>Meja</t>
  </si>
  <si>
    <t>21 Buah</t>
  </si>
  <si>
    <t>Rak Kayu</t>
  </si>
  <si>
    <t>Almari Kayu</t>
  </si>
  <si>
    <t>Almari Kayu Kecil</t>
  </si>
  <si>
    <t>Almari Kayu Besar</t>
  </si>
  <si>
    <t>Filling Kabinat brother</t>
  </si>
  <si>
    <t>Alat-alat Rumah Tangga</t>
  </si>
  <si>
    <t>Sragam Bergodo</t>
  </si>
  <si>
    <t>Tikar</t>
  </si>
  <si>
    <t>Pompa Air</t>
  </si>
  <si>
    <t>Tabung Gas</t>
  </si>
  <si>
    <t>Raise Cooker</t>
  </si>
  <si>
    <t>Kompor Gas Regulator</t>
  </si>
  <si>
    <t>Dispenser</t>
  </si>
  <si>
    <t>Peralatan Komputer</t>
  </si>
  <si>
    <t xml:space="preserve">Set Computer </t>
  </si>
  <si>
    <t>2016-2022</t>
  </si>
  <si>
    <t>Rusak Berat</t>
  </si>
  <si>
    <t>4 Unit</t>
  </si>
  <si>
    <t>Laptop Asuz</t>
  </si>
  <si>
    <t>1 Unit</t>
  </si>
  <si>
    <t>Laptop Acer</t>
  </si>
  <si>
    <t>Laptop (BPD)</t>
  </si>
  <si>
    <t>Notebook Acer</t>
  </si>
  <si>
    <t>2 Unit</t>
  </si>
  <si>
    <t>Laptop Lenovo</t>
  </si>
  <si>
    <t>3 Unit</t>
  </si>
  <si>
    <t>Canon LBP 2900</t>
  </si>
  <si>
    <t>1Unit</t>
  </si>
  <si>
    <t>Peinter Epson</t>
  </si>
  <si>
    <t>Printer (BPD)</t>
  </si>
  <si>
    <t>Printer Hp Laserjet ip1200 series</t>
  </si>
  <si>
    <t>Rusak</t>
  </si>
  <si>
    <t>Printer Hp Laserjet p1102</t>
  </si>
  <si>
    <t>Printer Canon 2207</t>
  </si>
  <si>
    <t>Printer hp Dekjet D1360</t>
  </si>
  <si>
    <t>1.3.2.06.06</t>
  </si>
  <si>
    <t>Rusak Ringan</t>
  </si>
  <si>
    <t>Printer Dekjet 1010</t>
  </si>
  <si>
    <t>Printer Canon Scan Copy</t>
  </si>
  <si>
    <t>1.3.2.06.04</t>
  </si>
  <si>
    <t>Printer Hp Dekjet Scan Copy</t>
  </si>
  <si>
    <t>Printer Epson</t>
  </si>
  <si>
    <t>Alat-alat Studio/Audio</t>
  </si>
  <si>
    <t>Samsung Tab A With s Pen</t>
  </si>
  <si>
    <t>Flasdisck</t>
  </si>
  <si>
    <t>Sandisk Ultra Micros DHC</t>
  </si>
  <si>
    <t>Kamerta Canon</t>
  </si>
  <si>
    <t>Kamera Lumix DC-G95K</t>
  </si>
  <si>
    <t>1.3.2.06.07</t>
  </si>
  <si>
    <t>Stabiliser Kamera</t>
  </si>
  <si>
    <t>1.3.2.06.08</t>
  </si>
  <si>
    <t xml:space="preserve">Wirllis </t>
  </si>
  <si>
    <t xml:space="preserve">Pro Wirlles Microphone </t>
  </si>
  <si>
    <t>LCD Proyektor</t>
  </si>
  <si>
    <t>1 Rusak, 1 Baik</t>
  </si>
  <si>
    <t>Projector Screen</t>
  </si>
  <si>
    <t xml:space="preserve">III. </t>
  </si>
  <si>
    <t>Gedung Kantor/Tempat Kerja</t>
  </si>
  <si>
    <t xml:space="preserve">Gedung PAUD </t>
  </si>
  <si>
    <t>Gedung  Kios</t>
  </si>
  <si>
    <t xml:space="preserve">Gedung Kios </t>
  </si>
  <si>
    <t>Balai Desa</t>
  </si>
  <si>
    <t>Lumbung Desa</t>
  </si>
  <si>
    <t>Perpustakaan Desa</t>
  </si>
  <si>
    <t>Kantor PKK</t>
  </si>
  <si>
    <t>Papan Nama Kalurahan Giring</t>
  </si>
  <si>
    <t>1.3.2.07.04</t>
  </si>
  <si>
    <t>Balai Kermsayarakatan</t>
  </si>
  <si>
    <t>1.3.2.07.05</t>
  </si>
  <si>
    <t>Kios dan Joglo</t>
  </si>
  <si>
    <t>1.3.2.07.06</t>
  </si>
  <si>
    <t>Lahan Rest Area</t>
  </si>
  <si>
    <t>1.3.2.07.07</t>
  </si>
  <si>
    <t>IV.</t>
  </si>
  <si>
    <t>Jalan, Jaringan dan Instalasi</t>
  </si>
  <si>
    <t>Jalan Desa</t>
  </si>
  <si>
    <t xml:space="preserve"> Jalan Usaha Tani </t>
  </si>
  <si>
    <t>1.3.2.07.03</t>
  </si>
  <si>
    <t>Jalan Usaha Tani Bulu</t>
  </si>
  <si>
    <t>Jalan Usaha Tani Pulebener</t>
  </si>
  <si>
    <t>1.3.2.08.03</t>
  </si>
  <si>
    <t>Jalan Usaha Tani Singkil</t>
  </si>
  <si>
    <t>Jalan Lingkungan Permukiman</t>
  </si>
  <si>
    <t>1.3.2.08.04</t>
  </si>
  <si>
    <t>Jalan Poros Bulu Gunu Gunungdowo</t>
  </si>
  <si>
    <t>Jalan Poros Bulu pengos</t>
  </si>
  <si>
    <t>1.3.2.08.08</t>
  </si>
  <si>
    <t>Jalan Bulu Pulerjo</t>
  </si>
  <si>
    <t>Jalan Pulerjo gunungdowo</t>
  </si>
  <si>
    <t>1.3.2.08.09</t>
  </si>
  <si>
    <t>Jalan Poros Poros Miri</t>
  </si>
  <si>
    <t>1.3.5.08.05</t>
  </si>
  <si>
    <t>1.3.5.08.07</t>
  </si>
  <si>
    <t>Pipanisasi</t>
  </si>
  <si>
    <t>1.3.2.09.06</t>
  </si>
  <si>
    <t>Jalan Usaha Tani Candi</t>
  </si>
  <si>
    <t>Cor Blok Jalan Bulu Singkil</t>
  </si>
  <si>
    <t>Cor Blok Jalan Nasri Pulerjo</t>
  </si>
  <si>
    <t>1.3.2.09.08</t>
  </si>
  <si>
    <t>Cor Blok Pengos Gunungdowo</t>
  </si>
  <si>
    <t>1.3.2.09.05</t>
  </si>
  <si>
    <t>Cor Blok Candi</t>
  </si>
  <si>
    <t>Cor Blok Bulu Pengos</t>
  </si>
  <si>
    <t>1.3.3.01.02</t>
  </si>
  <si>
    <t>Cor Blok Dusun Candi</t>
  </si>
  <si>
    <t>1.3.3.01.01</t>
  </si>
  <si>
    <t>Rehabilitas/Pemeliharaan Jalan Desa</t>
  </si>
  <si>
    <t>Talut</t>
  </si>
  <si>
    <t>1.3.3.01.03</t>
  </si>
  <si>
    <t>Cor rabat Gunungdowo</t>
  </si>
  <si>
    <t>1.3.3.01.04</t>
  </si>
  <si>
    <t xml:space="preserve">Cor Blok </t>
  </si>
  <si>
    <t>Slokan Gunungdowo</t>
  </si>
  <si>
    <t>Slokan Singkil</t>
  </si>
  <si>
    <t>Slokan Kendal</t>
  </si>
  <si>
    <t>Slokan Candi</t>
  </si>
  <si>
    <t>1.3.3.01.05</t>
  </si>
  <si>
    <t>Slokan Giring</t>
  </si>
  <si>
    <t>Drainase/Gorong Gorong</t>
  </si>
  <si>
    <t xml:space="preserve">Slokan </t>
  </si>
  <si>
    <t>Rehabilitas/Pemeliharaan Balai Kemasyarakatan</t>
  </si>
  <si>
    <t>Bak Penampungan dan Jaringan Air Bersih</t>
  </si>
  <si>
    <t>Taman Desa</t>
  </si>
  <si>
    <t>Instalasi Listrik dan Telepon/Internet</t>
  </si>
  <si>
    <t>TP-LINK Wifi</t>
  </si>
  <si>
    <t>1.3.3.07.01</t>
  </si>
  <si>
    <t>Jaringan Internet Kali Goang</t>
  </si>
  <si>
    <t>1.3.3.07.04</t>
  </si>
  <si>
    <t>V.</t>
  </si>
  <si>
    <t>Aset tetap lainya</t>
  </si>
  <si>
    <t>MCK Taman Desa</t>
  </si>
  <si>
    <t>Penampungan Air Besrsih</t>
  </si>
  <si>
    <t>Kotak Suara</t>
  </si>
  <si>
    <t>Lampu lhiting</t>
  </si>
  <si>
    <t>Lapak Taman Kuliner</t>
  </si>
  <si>
    <t>Aset bercorak kesenian ,kebudayaan</t>
  </si>
  <si>
    <t>Gamelan</t>
  </si>
  <si>
    <t>1 Pangkon</t>
  </si>
  <si>
    <t>Total Nilai Aset Tetap Per 31 Desember 2024</t>
  </si>
  <si>
    <t>*) Diisi dengan Baik (B), Rusak Ringan (RR), dan Rusak Berat (RB)</t>
  </si>
  <si>
    <t>Giring, 31 Desember 2024</t>
  </si>
  <si>
    <t>(JOKO TIRTO WIBOWO)</t>
  </si>
  <si>
    <t>LAPORAN MUTASI ASET TAHUN 2024</t>
  </si>
  <si>
    <t>No</t>
  </si>
  <si>
    <t>Uraian</t>
  </si>
  <si>
    <t>Aset Tetap 2023</t>
  </si>
  <si>
    <t>Tambah / Kurang</t>
  </si>
  <si>
    <t>Aset Tetap 2024</t>
  </si>
  <si>
    <t>Sumber Dana (Khusus BM)</t>
  </si>
  <si>
    <t>Hibah (BAST)</t>
  </si>
  <si>
    <t>Koreksi Kesalahan</t>
  </si>
  <si>
    <t>(1)</t>
  </si>
  <si>
    <t>(2)</t>
  </si>
  <si>
    <t>(3)</t>
  </si>
  <si>
    <t>(4)</t>
  </si>
  <si>
    <t>(5)</t>
  </si>
  <si>
    <t>(6)</t>
  </si>
  <si>
    <t>(7=3+4+5+6)</t>
  </si>
  <si>
    <t>Koreksi DPMKP2KB 2022</t>
  </si>
  <si>
    <t xml:space="preserve">II. </t>
  </si>
  <si>
    <t>Honda Kirana 125 cc No. Polisi AB 2836 DW</t>
  </si>
  <si>
    <t>Honda Supra x 125 Injek No. Polisi AB 6244 ID</t>
  </si>
  <si>
    <t>Honda Vario 125 Injek</t>
  </si>
  <si>
    <t>Laptop HP</t>
  </si>
  <si>
    <t>Samsung A12S</t>
  </si>
  <si>
    <t>Jalan Usaha Tani Singkil - Bulu  dan Gunungdowo</t>
  </si>
  <si>
    <t>Jalan Usaha Tani Dusun Candi</t>
  </si>
  <si>
    <t>Jalan Usaha Tani Kemesu Banjaran</t>
  </si>
  <si>
    <t>Turap/Talut/Bronjong Jalan Desa</t>
  </si>
  <si>
    <t>Cor Block Jalan Bulu Singkil</t>
  </si>
  <si>
    <t>Cor Block Jalan Nasri Pulerjo</t>
  </si>
  <si>
    <t>Cor Rabat Pengos Gunungdowo</t>
  </si>
  <si>
    <t>Cor Rabat Beton Jalan Candi</t>
  </si>
  <si>
    <t>Jalan Corblok Bulu Pengos</t>
  </si>
  <si>
    <t>Jalan Pulerjo Gunungdowo</t>
  </si>
  <si>
    <t>Jalan Candi</t>
  </si>
  <si>
    <t>Jalan Poros Candi Miri</t>
  </si>
  <si>
    <t>Jalan Poros Bulu Gunungdowo</t>
  </si>
  <si>
    <t>Jalan Poros Bulu Pengos</t>
  </si>
  <si>
    <t>Talut Slokan Candi Giring</t>
  </si>
  <si>
    <t>Slokan Bulu</t>
  </si>
  <si>
    <t>Plat Deker Gunungdowo</t>
  </si>
  <si>
    <t>Plat Deker Candi</t>
  </si>
  <si>
    <t>Saluran Drainase/Gorong - Gorong</t>
  </si>
  <si>
    <t>Taman Desa/Objek Wisata Yang Dikelola Desa</t>
  </si>
  <si>
    <t>Panggung/Balai Seni Budaya</t>
  </si>
  <si>
    <t>Tugu Batas Kota</t>
  </si>
  <si>
    <t>Lurah  Giring</t>
  </si>
  <si>
    <t>( JOKO TIRTO WIBOWO 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</si>
</sst>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-* #,##0_-;\-* #,##0_-;_-* &quot;-&quot;_-;_-@_-"/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_-* #,##0.00_-;\-* #,##0.00_-;_-* &quot;-&quot;??_-;_-@_-"/>
    <numFmt numFmtId="181" formatCode="00,000,000,000"/>
    <numFmt numFmtId="182" formatCode="_(&quot;$&quot;* #,##0_);_(&quot;$&quot;* \(#,##0\);_(&quot;$&quot;* &quot;-&quot;_);_(@_)"/>
    <numFmt numFmtId="183" formatCode="_-&quot;Rp&quot;* #,##0_-;\-&quot;Rp&quot;* #,##0_-;_-&quot;Rp&quot;* &quot;-&quot;_-;_-@_-"/>
    <numFmt numFmtId="184" formatCode="_(* #,##0_);_(* \(#,##0\);_(* &quot;-&quot;??_);_(@_)"/>
    <numFmt numFmtId="185" formatCode="_-* #,##0.00_-;\-* #,##0.00_-;_-* &quot;-&quot;_-;_-@_-"/>
    <numFmt numFmtId="186" formatCode="0."/>
    <numFmt numFmtId="187" formatCode="00"/>
    <numFmt numFmtId="188" formatCode="_ * #,##0_ ;_ * \-#,##0_ ;_ * &quot;-&quot;_ ;_ @_ "/>
    <numFmt numFmtId="189" formatCode="mm\,dd\,yy;@"/>
    <numFmt numFmtId="190" formatCode="#,##0.00_);\(#,##0.00\)"/>
    <numFmt numFmtId="191" formatCode="_(* #,##0.00_);_(* \(#,##0.00\);_(* &quot;-&quot;_);_(@_)"/>
    <numFmt numFmtId="192" formatCode="_ * #,##0.00_ ;_ * \-#,##0.00_ ;_ * &quot;-&quot;??_ ;_ @_ "/>
    <numFmt numFmtId="193" formatCode="_(&quot;Rp&quot;* #,##0_);_(&quot;Rp&quot;* \(#,##0\);_(&quot;Rp&quot;* &quot;-&quot;_);_(@_)"/>
    <numFmt numFmtId="194" formatCode="_(* #,##0.0000_);_(* \(#,##0.0000\);_(* &quot;0,00&quot;_);_(@_)"/>
    <numFmt numFmtId="195" formatCode="_(* #,##0.00_);_(* \(#,##0.00\);_(* &quot;0,00&quot;_);_(@_)"/>
  </numFmts>
  <fonts count="72">
    <font>
      <sz val="11"/>
      <color theme="1"/>
      <name val="Calibri"/>
      <charset val="134"/>
      <scheme val="minor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b/>
      <sz val="10"/>
      <name val="Bookman Old Style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rgb="FFFF0000"/>
      <name val="Times New Roman"/>
      <charset val="134"/>
    </font>
    <font>
      <b/>
      <sz val="10"/>
      <color theme="1"/>
      <name val="Calibri"/>
      <charset val="134"/>
      <scheme val="minor"/>
    </font>
    <font>
      <u/>
      <sz val="10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7"/>
      <name val="Arial"/>
      <charset val="134"/>
    </font>
    <font>
      <b/>
      <sz val="8"/>
      <name val="Arial"/>
      <charset val="134"/>
    </font>
    <font>
      <b/>
      <sz val="7"/>
      <color rgb="FF000000"/>
      <name val="Arial"/>
      <charset val="134"/>
    </font>
    <font>
      <b/>
      <sz val="8"/>
      <color rgb="FF000000"/>
      <name val="Arial"/>
      <charset val="134"/>
    </font>
    <font>
      <b/>
      <i/>
      <sz val="7"/>
      <name val="Arial"/>
      <charset val="134"/>
    </font>
    <font>
      <b/>
      <i/>
      <sz val="7"/>
      <color rgb="FF000000"/>
      <name val="Arial"/>
      <charset val="134"/>
    </font>
    <font>
      <sz val="7"/>
      <name val="Arial"/>
      <charset val="134"/>
    </font>
    <font>
      <sz val="7"/>
      <color rgb="FF000000"/>
      <name val="Arial"/>
      <charset val="134"/>
    </font>
    <font>
      <b/>
      <sz val="9"/>
      <color rgb="FF000000"/>
      <name val="Arial"/>
      <charset val="134"/>
    </font>
    <font>
      <sz val="7"/>
      <color theme="1"/>
      <name val="Calibri"/>
      <charset val="134"/>
      <scheme val="minor"/>
    </font>
    <font>
      <b/>
      <sz val="26"/>
      <color rgb="FF000000"/>
      <name val="Aptos"/>
      <charset val="134"/>
    </font>
    <font>
      <b/>
      <u/>
      <sz val="8"/>
      <color theme="1"/>
      <name val="Calibri"/>
      <charset val="134"/>
      <scheme val="minor"/>
    </font>
    <font>
      <i/>
      <sz val="7"/>
      <name val="Arial"/>
      <charset val="134"/>
    </font>
    <font>
      <i/>
      <sz val="7"/>
      <color rgb="FF000000"/>
      <name val="Arial"/>
      <charset val="134"/>
    </font>
    <font>
      <b/>
      <u/>
      <sz val="7"/>
      <name val="Arial"/>
      <charset val="134"/>
    </font>
    <font>
      <b/>
      <u/>
      <sz val="7"/>
      <color rgb="FF000000"/>
      <name val="Arial"/>
      <charset val="134"/>
    </font>
    <font>
      <sz val="10"/>
      <name val="Bookman Old Style"/>
      <charset val="134"/>
    </font>
    <font>
      <b/>
      <i/>
      <sz val="10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indexed="8"/>
      <name val="Bookman Old Style"/>
      <charset val="134"/>
    </font>
    <font>
      <sz val="12"/>
      <color theme="1"/>
      <name val="Bookman Old Style"/>
      <charset val="134"/>
    </font>
    <font>
      <u/>
      <sz val="10"/>
      <color theme="1"/>
      <name val="Bookman Old Style"/>
      <charset val="134"/>
    </font>
    <font>
      <sz val="11"/>
      <name val="Bookman Old Style"/>
      <charset val="134"/>
    </font>
    <font>
      <b/>
      <sz val="9"/>
      <name val="Bookman Old Style"/>
      <charset val="134"/>
    </font>
    <font>
      <b/>
      <sz val="12"/>
      <color indexed="8"/>
      <name val="Times New Roman"/>
      <charset val="134"/>
    </font>
    <font>
      <sz val="12"/>
      <color theme="1"/>
      <name val="Calibri"/>
      <charset val="134"/>
      <scheme val="minor"/>
    </font>
    <font>
      <sz val="7.5"/>
      <color theme="1"/>
      <name val="Bookman Old Style"/>
      <charset val="134"/>
    </font>
    <font>
      <sz val="8.5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8"/>
      <name val="Arial"/>
      <charset val="134"/>
    </font>
    <font>
      <sz val="11"/>
      <color theme="1"/>
      <name val="Calibri"/>
      <charset val="1"/>
      <scheme val="minor"/>
    </font>
    <font>
      <sz val="10"/>
      <name val="Arial"/>
      <charset val="134"/>
    </font>
    <font>
      <u/>
      <sz val="9.9"/>
      <color indexed="12"/>
      <name val="Calibri"/>
      <charset val="134"/>
    </font>
    <font>
      <u/>
      <sz val="11"/>
      <color indexed="30"/>
      <name val="Calibri"/>
      <charset val="134"/>
    </font>
    <font>
      <u/>
      <sz val="12.1"/>
      <color indexed="30"/>
      <name val="Calibri"/>
      <charset val="134"/>
    </font>
    <font>
      <sz val="11"/>
      <color indexed="8"/>
      <name val="Calibri"/>
      <charset val="134"/>
    </font>
    <font>
      <sz val="11"/>
      <name val="Calibri"/>
      <charset val="134"/>
    </font>
    <font>
      <sz val="10"/>
      <color indexed="8"/>
      <name val="Arial"/>
      <charset val="134"/>
    </font>
    <font>
      <sz val="12"/>
      <name val="Calibri"/>
      <charset val="134"/>
    </font>
    <font>
      <sz val="11"/>
      <color indexed="8"/>
      <name val="Cambri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29" applyNumberFormat="0" applyAlignment="0" applyProtection="0">
      <alignment vertical="center"/>
    </xf>
    <xf numFmtId="0" fontId="51" fillId="5" borderId="30" applyNumberFormat="0" applyAlignment="0" applyProtection="0">
      <alignment vertical="center"/>
    </xf>
    <xf numFmtId="0" fontId="52" fillId="5" borderId="29" applyNumberFormat="0" applyAlignment="0" applyProtection="0">
      <alignment vertical="center"/>
    </xf>
    <xf numFmtId="0" fontId="53" fillId="6" borderId="31" applyNumberFormat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62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62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62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180" fontId="61" fillId="0" borderId="0" applyFont="0" applyFill="0" applyBorder="0" applyAlignment="0" applyProtection="0"/>
    <xf numFmtId="180" fontId="63" fillId="0" borderId="0" applyFont="0" applyFill="0" applyBorder="0" applyAlignment="0" applyProtection="0"/>
    <xf numFmtId="181" fontId="61" fillId="0" borderId="0" applyFont="0" applyFill="0" applyBorder="0" applyAlignment="0" applyProtection="0"/>
    <xf numFmtId="176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67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0" borderId="0"/>
    <xf numFmtId="0" fontId="68" fillId="0" borderId="0">
      <alignment vertical="center"/>
    </xf>
    <xf numFmtId="0" fontId="68" fillId="0" borderId="0">
      <alignment vertical="center"/>
    </xf>
    <xf numFmtId="0" fontId="0" fillId="0" borderId="0"/>
    <xf numFmtId="0" fontId="63" fillId="0" borderId="0"/>
    <xf numFmtId="0" fontId="63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69" fillId="0" borderId="0"/>
    <xf numFmtId="0" fontId="0" fillId="0" borderId="0"/>
    <xf numFmtId="0" fontId="70" fillId="0" borderId="0">
      <alignment vertical="center"/>
    </xf>
    <xf numFmtId="0" fontId="0" fillId="0" borderId="0"/>
    <xf numFmtId="0" fontId="63" fillId="0" borderId="0"/>
    <xf numFmtId="0" fontId="71" fillId="0" borderId="0">
      <alignment vertical="center"/>
    </xf>
    <xf numFmtId="0" fontId="63" fillId="0" borderId="0"/>
    <xf numFmtId="0" fontId="63" fillId="0" borderId="0"/>
    <xf numFmtId="0" fontId="0" fillId="0" borderId="0"/>
    <xf numFmtId="0" fontId="67" fillId="0" borderId="0">
      <alignment vertical="center"/>
    </xf>
    <xf numFmtId="0" fontId="0" fillId="0" borderId="0"/>
    <xf numFmtId="0" fontId="71" fillId="0" borderId="0">
      <alignment vertical="center"/>
    </xf>
    <xf numFmtId="0" fontId="0" fillId="0" borderId="0"/>
    <xf numFmtId="0" fontId="0" fillId="0" borderId="0"/>
    <xf numFmtId="0" fontId="69" fillId="0" borderId="0"/>
    <xf numFmtId="0" fontId="0" fillId="0" borderId="0"/>
    <xf numFmtId="0" fontId="0" fillId="0" borderId="0"/>
    <xf numFmtId="0" fontId="69" fillId="0" borderId="0"/>
    <xf numFmtId="0" fontId="0" fillId="0" borderId="0"/>
    <xf numFmtId="0" fontId="0" fillId="0" borderId="0"/>
    <xf numFmtId="0" fontId="6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50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/>
    </xf>
    <xf numFmtId="178" fontId="1" fillId="0" borderId="1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Fill="1" applyAlignment="1"/>
    <xf numFmtId="0" fontId="5" fillId="0" borderId="0" xfId="0" applyFont="1" applyFill="1" applyAlignment="1"/>
    <xf numFmtId="41" fontId="4" fillId="0" borderId="0" xfId="4" applyNumberFormat="1" applyFont="1"/>
    <xf numFmtId="0" fontId="4" fillId="0" borderId="0" xfId="0" applyFont="1" applyFill="1" applyBorder="1" applyAlignment="1"/>
    <xf numFmtId="0" fontId="5" fillId="0" borderId="0" xfId="111" applyFont="1" applyFill="1" applyBorder="1" applyAlignment="1">
      <alignment horizontal="center"/>
    </xf>
    <xf numFmtId="184" fontId="5" fillId="0" borderId="0" xfId="86" applyNumberFormat="1" applyFont="1" applyFill="1" applyBorder="1" applyAlignment="1">
      <alignment horizontal="center"/>
    </xf>
    <xf numFmtId="0" fontId="4" fillId="0" borderId="0" xfId="111" applyFont="1" applyFill="1" applyBorder="1" applyAlignment="1">
      <alignment horizontal="center" vertical="center"/>
    </xf>
    <xf numFmtId="0" fontId="4" fillId="0" borderId="0" xfId="111" applyFont="1" applyFill="1" applyBorder="1" applyAlignment="1">
      <alignment horizontal="center"/>
    </xf>
    <xf numFmtId="41" fontId="4" fillId="0" borderId="0" xfId="4" applyNumberFormat="1" applyFont="1" applyFill="1" applyBorder="1" applyAlignment="1">
      <alignment horizontal="center"/>
    </xf>
    <xf numFmtId="41" fontId="4" fillId="0" borderId="0" xfId="50" applyNumberFormat="1" applyFont="1" applyFill="1" applyBorder="1" applyAlignment="1">
      <alignment horizontal="center"/>
    </xf>
    <xf numFmtId="184" fontId="4" fillId="0" borderId="0" xfId="86" applyNumberFormat="1" applyFont="1" applyFill="1" applyBorder="1" applyAlignment="1">
      <alignment horizontal="center"/>
    </xf>
    <xf numFmtId="41" fontId="4" fillId="0" borderId="0" xfId="4" applyNumberFormat="1" applyFont="1" applyFill="1" applyBorder="1" applyAlignment="1"/>
    <xf numFmtId="0" fontId="5" fillId="0" borderId="1" xfId="111" applyFont="1" applyFill="1" applyBorder="1" applyAlignment="1">
      <alignment horizontal="center" vertical="center"/>
    </xf>
    <xf numFmtId="0" fontId="5" fillId="0" borderId="1" xfId="111" applyFont="1" applyFill="1" applyBorder="1" applyAlignment="1">
      <alignment horizontal="center" vertical="center" wrapText="1"/>
    </xf>
    <xf numFmtId="41" fontId="5" fillId="0" borderId="1" xfId="4" applyNumberFormat="1" applyFont="1" applyFill="1" applyBorder="1" applyAlignment="1">
      <alignment horizontal="center" vertical="center" wrapText="1"/>
    </xf>
    <xf numFmtId="184" fontId="5" fillId="0" borderId="1" xfId="86" applyNumberFormat="1" applyFont="1" applyFill="1" applyBorder="1" applyAlignment="1">
      <alignment horizontal="center" vertical="center" wrapText="1"/>
    </xf>
    <xf numFmtId="41" fontId="5" fillId="0" borderId="1" xfId="50" applyNumberFormat="1" applyFont="1" applyFill="1" applyBorder="1" applyAlignment="1">
      <alignment horizontal="center" vertical="center" wrapText="1"/>
    </xf>
    <xf numFmtId="0" fontId="6" fillId="0" borderId="1" xfId="111" applyFont="1" applyFill="1" applyBorder="1" applyAlignment="1">
      <alignment horizontal="center" vertical="center"/>
    </xf>
    <xf numFmtId="0" fontId="6" fillId="0" borderId="1" xfId="111" applyFont="1" applyFill="1" applyBorder="1" applyAlignment="1">
      <alignment horizontal="center" vertical="center" wrapText="1"/>
    </xf>
    <xf numFmtId="41" fontId="6" fillId="0" borderId="1" xfId="4" applyNumberFormat="1" applyFont="1" applyFill="1" applyBorder="1" applyAlignment="1">
      <alignment horizontal="center" vertical="center" wrapText="1"/>
    </xf>
    <xf numFmtId="41" fontId="6" fillId="0" borderId="1" xfId="50" applyNumberFormat="1" applyFont="1" applyFill="1" applyBorder="1" applyAlignment="1">
      <alignment horizontal="center" vertical="center"/>
    </xf>
    <xf numFmtId="184" fontId="6" fillId="0" borderId="1" xfId="86" applyNumberFormat="1" applyFont="1" applyFill="1" applyBorder="1" applyAlignment="1">
      <alignment horizontal="center" vertical="center" wrapText="1"/>
    </xf>
    <xf numFmtId="0" fontId="6" fillId="0" borderId="1" xfId="112" applyFont="1" applyFill="1" applyBorder="1" applyAlignment="1">
      <alignment horizontal="center" vertical="center"/>
    </xf>
    <xf numFmtId="0" fontId="6" fillId="0" borderId="1" xfId="112" applyFont="1" applyFill="1" applyBorder="1" applyAlignment="1" applyProtection="1">
      <alignment horizontal="left" vertical="center"/>
      <protection locked="0"/>
    </xf>
    <xf numFmtId="41" fontId="6" fillId="0" borderId="1" xfId="50" applyNumberFormat="1" applyFont="1" applyFill="1" applyBorder="1" applyAlignment="1">
      <alignment horizontal="center"/>
    </xf>
    <xf numFmtId="0" fontId="6" fillId="0" borderId="1" xfId="111" applyFont="1" applyFill="1" applyBorder="1" applyAlignment="1">
      <alignment horizontal="left" vertical="center" wrapText="1"/>
    </xf>
    <xf numFmtId="41" fontId="4" fillId="0" borderId="0" xfId="50" applyNumberFormat="1" applyFont="1" applyAlignment="1">
      <alignment horizontal="center" vertical="center"/>
    </xf>
    <xf numFmtId="0" fontId="6" fillId="0" borderId="1" xfId="112" applyFont="1" applyFill="1" applyBorder="1" applyAlignment="1">
      <alignment horizontal="right" vertical="center"/>
    </xf>
    <xf numFmtId="0" fontId="7" fillId="0" borderId="1" xfId="112" applyFont="1" applyFill="1" applyBorder="1" applyAlignment="1" applyProtection="1">
      <alignment horizontal="left" vertical="center"/>
      <protection locked="0"/>
    </xf>
    <xf numFmtId="0" fontId="6" fillId="0" borderId="1" xfId="111" applyFont="1" applyFill="1" applyBorder="1" applyAlignment="1">
      <alignment horizontal="center"/>
    </xf>
    <xf numFmtId="0" fontId="7" fillId="0" borderId="4" xfId="112" applyFont="1" applyFill="1" applyBorder="1" applyAlignment="1" applyProtection="1">
      <alignment horizontal="left" vertical="center"/>
      <protection locked="0"/>
    </xf>
    <xf numFmtId="41" fontId="5" fillId="0" borderId="6" xfId="50" applyNumberFormat="1" applyFont="1" applyBorder="1" applyAlignment="1">
      <alignment horizontal="right"/>
    </xf>
    <xf numFmtId="0" fontId="4" fillId="0" borderId="1" xfId="111" applyFont="1" applyFill="1" applyBorder="1" applyAlignment="1"/>
    <xf numFmtId="0" fontId="5" fillId="0" borderId="1" xfId="111" applyFont="1" applyFill="1" applyBorder="1" applyAlignment="1">
      <alignment wrapText="1"/>
    </xf>
    <xf numFmtId="184" fontId="4" fillId="0" borderId="1" xfId="86" applyNumberFormat="1" applyFont="1" applyBorder="1" applyAlignment="1">
      <alignment horizontal="center"/>
    </xf>
    <xf numFmtId="41" fontId="4" fillId="0" borderId="1" xfId="4" applyNumberFormat="1" applyFont="1" applyBorder="1"/>
    <xf numFmtId="0" fontId="5" fillId="0" borderId="4" xfId="111" applyFont="1" applyFill="1" applyBorder="1" applyAlignment="1"/>
    <xf numFmtId="41" fontId="5" fillId="0" borderId="1" xfId="4" applyNumberFormat="1" applyFont="1" applyBorder="1"/>
    <xf numFmtId="41" fontId="5" fillId="0" borderId="0" xfId="0" applyNumberFormat="1" applyFont="1" applyFill="1" applyAlignment="1"/>
    <xf numFmtId="0" fontId="5" fillId="0" borderId="1" xfId="111" applyFont="1" applyFill="1" applyBorder="1" applyAlignment="1"/>
    <xf numFmtId="184" fontId="5" fillId="0" borderId="1" xfId="86" applyNumberFormat="1" applyFont="1" applyFill="1" applyBorder="1" applyAlignment="1">
      <alignment horizontal="left"/>
    </xf>
    <xf numFmtId="41" fontId="5" fillId="0" borderId="0" xfId="4" applyNumberFormat="1" applyFont="1"/>
    <xf numFmtId="41" fontId="5" fillId="0" borderId="1" xfId="111" applyNumberFormat="1" applyFont="1" applyFill="1" applyBorder="1" applyAlignment="1"/>
    <xf numFmtId="0" fontId="4" fillId="0" borderId="1" xfId="111" applyFont="1" applyFill="1" applyBorder="1" applyAlignment="1">
      <alignment horizontal="center" vertical="center"/>
    </xf>
    <xf numFmtId="41" fontId="4" fillId="0" borderId="6" xfId="50" applyNumberFormat="1" applyFont="1" applyBorder="1"/>
    <xf numFmtId="184" fontId="4" fillId="0" borderId="1" xfId="86" applyNumberFormat="1" applyFont="1" applyBorder="1"/>
    <xf numFmtId="0" fontId="4" fillId="0" borderId="4" xfId="111" applyFont="1" applyFill="1" applyBorder="1" applyAlignment="1"/>
    <xf numFmtId="0" fontId="4" fillId="0" borderId="1" xfId="0" applyFont="1" applyFill="1" applyBorder="1" applyAlignment="1"/>
    <xf numFmtId="184" fontId="5" fillId="0" borderId="1" xfId="86" applyNumberFormat="1" applyFont="1" applyBorder="1"/>
    <xf numFmtId="41" fontId="4" fillId="0" borderId="1" xfId="0" applyNumberFormat="1" applyFont="1" applyFill="1" applyBorder="1" applyAlignment="1"/>
    <xf numFmtId="184" fontId="7" fillId="0" borderId="1" xfId="80" applyNumberFormat="1" applyFont="1" applyBorder="1" applyAlignment="1">
      <alignment vertical="center"/>
    </xf>
    <xf numFmtId="184" fontId="7" fillId="0" borderId="1" xfId="112" applyNumberFormat="1" applyFont="1" applyFill="1" applyBorder="1" applyAlignment="1">
      <alignment vertical="center"/>
    </xf>
    <xf numFmtId="184" fontId="7" fillId="0" borderId="1" xfId="112" applyNumberFormat="1" applyFont="1" applyFill="1" applyBorder="1" applyAlignment="1" applyProtection="1">
      <alignment vertical="center"/>
      <protection locked="0"/>
    </xf>
    <xf numFmtId="184" fontId="7" fillId="0" borderId="1" xfId="80" applyNumberFormat="1" applyFont="1" applyFill="1" applyBorder="1" applyAlignment="1" applyProtection="1">
      <alignment vertical="center"/>
      <protection locked="0"/>
    </xf>
    <xf numFmtId="178" fontId="4" fillId="0" borderId="1" xfId="86" applyNumberFormat="1" applyFont="1" applyBorder="1" applyAlignment="1">
      <alignment horizontal="right"/>
    </xf>
    <xf numFmtId="41" fontId="4" fillId="0" borderId="1" xfId="50" applyNumberFormat="1" applyFont="1" applyBorder="1"/>
    <xf numFmtId="41" fontId="4" fillId="0" borderId="6" xfId="50" applyNumberFormat="1" applyFont="1" applyBorder="1" applyAlignment="1">
      <alignment horizontal="right"/>
    </xf>
    <xf numFmtId="41" fontId="5" fillId="0" borderId="6" xfId="50" applyNumberFormat="1" applyFont="1" applyBorder="1"/>
    <xf numFmtId="0" fontId="4" fillId="0" borderId="0" xfId="111" applyFont="1" applyFill="1" applyAlignment="1"/>
    <xf numFmtId="41" fontId="4" fillId="0" borderId="0" xfId="50" applyNumberFormat="1" applyFont="1"/>
    <xf numFmtId="0" fontId="4" fillId="0" borderId="0" xfId="111" applyFont="1" applyFill="1" applyBorder="1" applyAlignment="1"/>
    <xf numFmtId="41" fontId="4" fillId="0" borderId="0" xfId="50" applyNumberFormat="1" applyFont="1" applyBorder="1"/>
    <xf numFmtId="0" fontId="5" fillId="0" borderId="0" xfId="111" applyFont="1" applyFill="1" applyAlignment="1"/>
    <xf numFmtId="41" fontId="5" fillId="0" borderId="0" xfId="50" applyNumberFormat="1" applyFont="1" applyBorder="1"/>
    <xf numFmtId="0" fontId="5" fillId="0" borderId="0" xfId="0" applyFont="1" applyFill="1" applyBorder="1" applyAlignment="1"/>
    <xf numFmtId="0" fontId="4" fillId="0" borderId="7" xfId="111" applyFont="1" applyFill="1" applyBorder="1" applyAlignment="1">
      <alignment horizontal="left"/>
    </xf>
    <xf numFmtId="41" fontId="4" fillId="0" borderId="7" xfId="50" applyNumberFormat="1" applyFont="1" applyBorder="1"/>
    <xf numFmtId="41" fontId="8" fillId="0" borderId="7" xfId="50" applyNumberFormat="1" applyFont="1" applyBorder="1"/>
    <xf numFmtId="41" fontId="4" fillId="2" borderId="1" xfId="50" applyNumberFormat="1" applyFont="1" applyFill="1" applyBorder="1" applyAlignment="1">
      <alignment horizontal="left"/>
    </xf>
    <xf numFmtId="41" fontId="4" fillId="0" borderId="1" xfId="111" applyNumberFormat="1" applyFont="1" applyFill="1" applyBorder="1" applyAlignment="1"/>
    <xf numFmtId="41" fontId="7" fillId="0" borderId="6" xfId="50" applyNumberFormat="1" applyFont="1" applyBorder="1" applyAlignment="1">
      <alignment vertical="center"/>
    </xf>
    <xf numFmtId="41" fontId="7" fillId="0" borderId="1" xfId="4" applyNumberFormat="1" applyFont="1" applyBorder="1" applyAlignment="1">
      <alignment vertical="center"/>
    </xf>
    <xf numFmtId="41" fontId="7" fillId="0" borderId="1" xfId="50" applyNumberFormat="1" applyFont="1" applyBorder="1" applyAlignment="1">
      <alignment vertical="center"/>
    </xf>
    <xf numFmtId="41" fontId="4" fillId="0" borderId="0" xfId="0" applyNumberFormat="1" applyFont="1" applyFill="1" applyAlignment="1"/>
    <xf numFmtId="41" fontId="5" fillId="0" borderId="1" xfId="50" applyNumberFormat="1" applyFont="1" applyFill="1" applyBorder="1" applyAlignment="1"/>
    <xf numFmtId="0" fontId="7" fillId="2" borderId="1" xfId="112" applyFont="1" applyFill="1" applyBorder="1" applyAlignment="1" applyProtection="1">
      <alignment horizontal="left" vertical="center"/>
      <protection locked="0"/>
    </xf>
    <xf numFmtId="184" fontId="7" fillId="2" borderId="1" xfId="80" applyNumberFormat="1" applyFont="1" applyFill="1" applyBorder="1" applyAlignment="1" applyProtection="1">
      <alignment vertical="center"/>
      <protection locked="0"/>
    </xf>
    <xf numFmtId="184" fontId="7" fillId="2" borderId="1" xfId="80" applyNumberFormat="1" applyFont="1" applyFill="1" applyBorder="1" applyAlignment="1">
      <alignment vertical="center"/>
    </xf>
    <xf numFmtId="41" fontId="7" fillId="2" borderId="1" xfId="50" applyNumberFormat="1" applyFont="1" applyFill="1" applyBorder="1" applyAlignment="1">
      <alignment vertical="center"/>
    </xf>
    <xf numFmtId="184" fontId="7" fillId="0" borderId="0" xfId="80" applyNumberFormat="1" applyFont="1" applyBorder="1" applyAlignment="1">
      <alignment vertical="center"/>
    </xf>
    <xf numFmtId="184" fontId="7" fillId="2" borderId="0" xfId="80" applyNumberFormat="1" applyFont="1" applyFill="1" applyBorder="1" applyAlignment="1" applyProtection="1">
      <alignment vertical="center"/>
      <protection locked="0"/>
    </xf>
    <xf numFmtId="41" fontId="4" fillId="0" borderId="0" xfId="111" applyNumberFormat="1" applyFont="1" applyFill="1" applyBorder="1" applyAlignment="1"/>
    <xf numFmtId="184" fontId="7" fillId="2" borderId="0" xfId="80" applyNumberFormat="1" applyFont="1" applyFill="1" applyBorder="1" applyAlignment="1">
      <alignment vertical="center"/>
    </xf>
    <xf numFmtId="41" fontId="4" fillId="0" borderId="0" xfId="4" applyNumberFormat="1" applyFont="1" applyBorder="1"/>
    <xf numFmtId="41" fontId="4" fillId="2" borderId="7" xfId="50" applyNumberFormat="1" applyFont="1" applyFill="1" applyBorder="1"/>
    <xf numFmtId="184" fontId="4" fillId="0" borderId="0" xfId="111" applyNumberFormat="1" applyFont="1" applyFill="1" applyBorder="1" applyAlignment="1"/>
    <xf numFmtId="0" fontId="5" fillId="0" borderId="1" xfId="111" applyFont="1" applyFill="1" applyBorder="1" applyAlignment="1">
      <alignment vertical="center" wrapText="1"/>
    </xf>
    <xf numFmtId="41" fontId="5" fillId="0" borderId="1" xfId="4" applyNumberFormat="1" applyFont="1" applyBorder="1" applyAlignment="1">
      <alignment vertical="center"/>
    </xf>
    <xf numFmtId="41" fontId="7" fillId="0" borderId="1" xfId="4" applyNumberFormat="1" applyFont="1" applyFill="1" applyBorder="1" applyAlignment="1" applyProtection="1">
      <alignment vertical="center"/>
      <protection locked="0"/>
    </xf>
    <xf numFmtId="41" fontId="5" fillId="0" borderId="1" xfId="50" applyNumberFormat="1" applyFont="1" applyBorder="1"/>
    <xf numFmtId="178" fontId="5" fillId="0" borderId="1" xfId="86" applyNumberFormat="1" applyFont="1" applyBorder="1"/>
    <xf numFmtId="0" fontId="5" fillId="0" borderId="9" xfId="0" applyFont="1" applyFill="1" applyBorder="1" applyAlignment="1"/>
    <xf numFmtId="0" fontId="5" fillId="0" borderId="4" xfId="0" applyFont="1" applyFill="1" applyBorder="1" applyAlignment="1"/>
    <xf numFmtId="0" fontId="5" fillId="0" borderId="1" xfId="0" applyFont="1" applyFill="1" applyBorder="1" applyAlignment="1"/>
    <xf numFmtId="41" fontId="5" fillId="0" borderId="1" xfId="0" applyNumberFormat="1" applyFont="1" applyFill="1" applyBorder="1" applyAlignment="1"/>
    <xf numFmtId="41" fontId="7" fillId="2" borderId="1" xfId="4" applyNumberFormat="1" applyFont="1" applyFill="1" applyBorder="1" applyAlignment="1" applyProtection="1">
      <alignment vertical="center"/>
      <protection locked="0"/>
    </xf>
    <xf numFmtId="41" fontId="5" fillId="0" borderId="1" xfId="50" applyNumberFormat="1" applyFont="1" applyBorder="1" applyAlignment="1">
      <alignment vertical="center"/>
    </xf>
    <xf numFmtId="0" fontId="5" fillId="0" borderId="1" xfId="111" applyFont="1" applyFill="1" applyBorder="1" applyAlignment="1">
      <alignment vertical="center"/>
    </xf>
    <xf numFmtId="184" fontId="5" fillId="0" borderId="1" xfId="86" applyNumberFormat="1" applyFont="1" applyBorder="1" applyAlignment="1">
      <alignment vertical="center"/>
    </xf>
    <xf numFmtId="0" fontId="4" fillId="0" borderId="10" xfId="111" applyFont="1" applyFill="1" applyBorder="1" applyAlignment="1"/>
    <xf numFmtId="184" fontId="4" fillId="0" borderId="1" xfId="111" applyNumberFormat="1" applyFont="1" applyFill="1" applyBorder="1" applyAlignment="1"/>
    <xf numFmtId="0" fontId="5" fillId="0" borderId="4" xfId="111" applyFont="1" applyFill="1" applyBorder="1" applyAlignment="1">
      <alignment horizontal="center"/>
    </xf>
    <xf numFmtId="0" fontId="5" fillId="0" borderId="6" xfId="111" applyFont="1" applyFill="1" applyBorder="1" applyAlignment="1">
      <alignment horizontal="center"/>
    </xf>
    <xf numFmtId="184" fontId="5" fillId="0" borderId="1" xfId="86" applyNumberFormat="1" applyFont="1" applyBorder="1" applyAlignment="1">
      <alignment horizontal="center"/>
    </xf>
    <xf numFmtId="0" fontId="4" fillId="0" borderId="11" xfId="111" applyFont="1" applyFill="1" applyBorder="1" applyAlignment="1"/>
    <xf numFmtId="0" fontId="5" fillId="0" borderId="0" xfId="111" applyFont="1" applyFill="1" applyBorder="1" applyAlignment="1">
      <alignment horizontal="center" vertical="center"/>
    </xf>
    <xf numFmtId="0" fontId="4" fillId="0" borderId="0" xfId="111" applyFont="1" applyFill="1" applyAlignment="1">
      <alignment horizontal="center" vertical="center"/>
    </xf>
    <xf numFmtId="41" fontId="4" fillId="0" borderId="0" xfId="111" applyNumberFormat="1" applyFont="1" applyFill="1" applyAlignment="1"/>
    <xf numFmtId="184" fontId="4" fillId="0" borderId="0" xfId="111" applyNumberFormat="1" applyFont="1" applyFill="1" applyAlignment="1"/>
    <xf numFmtId="41" fontId="4" fillId="0" borderId="0" xfId="4" applyNumberFormat="1" applyFont="1" applyFill="1" applyAlignment="1">
      <alignment horizontal="center" vertical="center"/>
    </xf>
    <xf numFmtId="0" fontId="4" fillId="0" borderId="0" xfId="111" applyFont="1" applyFill="1" applyAlignment="1">
      <alignment vertical="center"/>
    </xf>
    <xf numFmtId="0" fontId="5" fillId="0" borderId="0" xfId="111" applyFont="1" applyFill="1" applyAlignment="1">
      <alignment horizontal="center" vertical="center"/>
    </xf>
    <xf numFmtId="184" fontId="5" fillId="0" borderId="0" xfId="86" applyNumberFormat="1" applyFont="1" applyBorder="1"/>
    <xf numFmtId="184" fontId="7" fillId="0" borderId="0" xfId="112" applyNumberFormat="1" applyFont="1" applyFill="1" applyBorder="1" applyAlignment="1" applyProtection="1">
      <alignment vertical="center"/>
      <protection locked="0"/>
    </xf>
    <xf numFmtId="184" fontId="4" fillId="0" borderId="0" xfId="86" applyNumberFormat="1" applyFont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112" applyFont="1" applyFill="1" applyBorder="1" applyAlignment="1" applyProtection="1">
      <alignment horizontal="left" vertical="center"/>
      <protection locked="0"/>
    </xf>
    <xf numFmtId="0" fontId="6" fillId="0" borderId="3" xfId="112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center"/>
    </xf>
    <xf numFmtId="0" fontId="7" fillId="0" borderId="6" xfId="112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58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41" fontId="5" fillId="0" borderId="0" xfId="4" applyNumberFormat="1" applyFont="1" applyFill="1" applyAlignment="1">
      <alignment vertical="center"/>
    </xf>
    <xf numFmtId="41" fontId="4" fillId="0" borderId="0" xfId="4" applyNumberFormat="1" applyFont="1" applyFill="1" applyBorder="1" applyAlignment="1">
      <alignment horizontal="centerContinuous" vertical="center"/>
    </xf>
    <xf numFmtId="41" fontId="5" fillId="0" borderId="13" xfId="4" applyNumberFormat="1" applyFont="1" applyFill="1" applyBorder="1" applyAlignment="1">
      <alignment horizontal="center" vertical="center" wrapText="1"/>
    </xf>
    <xf numFmtId="41" fontId="5" fillId="0" borderId="10" xfId="4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1" fontId="5" fillId="0" borderId="1" xfId="4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41" fontId="5" fillId="0" borderId="10" xfId="4" applyNumberFormat="1" applyFont="1" applyBorder="1" applyAlignment="1">
      <alignment horizontal="right" vertical="center"/>
    </xf>
    <xf numFmtId="41" fontId="4" fillId="0" borderId="1" xfId="4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1" fontId="4" fillId="0" borderId="1" xfId="4" applyNumberFormat="1" applyFont="1" applyBorder="1" applyAlignment="1">
      <alignment horizontal="right" vertical="center"/>
    </xf>
    <xf numFmtId="41" fontId="4" fillId="2" borderId="1" xfId="50" applyNumberFormat="1" applyFont="1" applyFill="1" applyBorder="1"/>
    <xf numFmtId="0" fontId="7" fillId="0" borderId="0" xfId="112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4" xfId="0" applyFont="1" applyFill="1" applyBorder="1" applyAlignment="1"/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84" fontId="7" fillId="0" borderId="6" xfId="80" applyNumberFormat="1" applyFont="1" applyBorder="1" applyAlignment="1">
      <alignment vertical="center"/>
    </xf>
    <xf numFmtId="41" fontId="7" fillId="0" borderId="0" xfId="4" applyNumberFormat="1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41" fontId="4" fillId="0" borderId="1" xfId="4" applyNumberFormat="1" applyFont="1" applyBorder="1" applyAlignment="1">
      <alignment vertical="center"/>
    </xf>
    <xf numFmtId="41" fontId="7" fillId="2" borderId="0" xfId="4" applyNumberFormat="1" applyFont="1" applyFill="1" applyBorder="1" applyAlignment="1">
      <alignment vertical="center"/>
    </xf>
    <xf numFmtId="3" fontId="4" fillId="2" borderId="1" xfId="50" applyNumberFormat="1" applyFont="1" applyFill="1" applyBorder="1" applyAlignment="1">
      <alignment horizontal="right"/>
    </xf>
    <xf numFmtId="185" fontId="4" fillId="2" borderId="1" xfId="50" applyNumberFormat="1" applyFont="1" applyFill="1" applyBorder="1" applyAlignment="1">
      <alignment horizontal="right"/>
    </xf>
    <xf numFmtId="41" fontId="4" fillId="2" borderId="1" xfId="5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41" fontId="4" fillId="0" borderId="1" xfId="50" applyNumberFormat="1" applyFont="1" applyBorder="1" applyAlignment="1">
      <alignment horizontal="right"/>
    </xf>
    <xf numFmtId="0" fontId="5" fillId="0" borderId="4" xfId="111" applyFont="1" applyFill="1" applyBorder="1" applyAlignment="1">
      <alignment horizontal="left" vertical="center" wrapText="1"/>
    </xf>
    <xf numFmtId="0" fontId="5" fillId="0" borderId="5" xfId="111" applyFont="1" applyFill="1" applyBorder="1" applyAlignment="1">
      <alignment horizontal="left" vertical="center" wrapText="1"/>
    </xf>
    <xf numFmtId="0" fontId="5" fillId="0" borderId="6" xfId="111" applyFont="1" applyFill="1" applyBorder="1" applyAlignment="1">
      <alignment horizontal="left" vertical="center" wrapText="1"/>
    </xf>
    <xf numFmtId="0" fontId="5" fillId="0" borderId="4" xfId="111" applyFont="1" applyFill="1" applyBorder="1" applyAlignment="1">
      <alignment horizontal="left"/>
    </xf>
    <xf numFmtId="0" fontId="5" fillId="0" borderId="5" xfId="111" applyFont="1" applyFill="1" applyBorder="1" applyAlignment="1">
      <alignment horizontal="left"/>
    </xf>
    <xf numFmtId="0" fontId="5" fillId="0" borderId="6" xfId="11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85" fontId="5" fillId="2" borderId="1" xfId="50" applyNumberFormat="1" applyFont="1" applyFill="1" applyBorder="1" applyAlignment="1">
      <alignment horizontal="right"/>
    </xf>
    <xf numFmtId="0" fontId="5" fillId="0" borderId="0" xfId="111" applyFont="1" applyFill="1" applyBorder="1" applyAlignment="1">
      <alignment vertical="center" wrapText="1"/>
    </xf>
    <xf numFmtId="41" fontId="5" fillId="0" borderId="1" xfId="4" applyNumberFormat="1" applyFont="1" applyFill="1" applyBorder="1" applyAlignment="1">
      <alignment horizontal="center" vertical="center"/>
    </xf>
    <xf numFmtId="41" fontId="6" fillId="0" borderId="1" xfId="4" applyNumberFormat="1" applyFont="1" applyFill="1" applyBorder="1" applyAlignment="1" applyProtection="1">
      <alignment vertical="center"/>
      <protection locked="0"/>
    </xf>
    <xf numFmtId="41" fontId="4" fillId="0" borderId="13" xfId="4" applyNumberFormat="1" applyFont="1" applyFill="1" applyBorder="1" applyAlignment="1">
      <alignment horizontal="center" vertical="center"/>
    </xf>
    <xf numFmtId="41" fontId="4" fillId="0" borderId="0" xfId="4" applyNumberFormat="1" applyFont="1" applyFill="1" applyBorder="1" applyAlignment="1">
      <alignment vertical="center"/>
    </xf>
    <xf numFmtId="41" fontId="4" fillId="0" borderId="0" xfId="4" applyNumberFormat="1" applyFont="1" applyFill="1" applyAlignment="1">
      <alignment vertical="center"/>
    </xf>
    <xf numFmtId="0" fontId="11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right" vertical="top" wrapText="1" indent="1"/>
    </xf>
    <xf numFmtId="0" fontId="14" fillId="2" borderId="15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4" fillId="2" borderId="18" xfId="0" applyFont="1" applyFill="1" applyBorder="1" applyAlignment="1">
      <alignment horizontal="center" vertical="top" wrapText="1"/>
    </xf>
    <xf numFmtId="1" fontId="16" fillId="2" borderId="19" xfId="0" applyNumberFormat="1" applyFont="1" applyFill="1" applyBorder="1" applyAlignment="1">
      <alignment horizontal="center" vertical="top" shrinkToFit="1"/>
    </xf>
    <xf numFmtId="1" fontId="17" fillId="2" borderId="19" xfId="0" applyNumberFormat="1" applyFont="1" applyFill="1" applyBorder="1" applyAlignment="1">
      <alignment horizontal="center" vertical="top" shrinkToFit="1"/>
    </xf>
    <xf numFmtId="1" fontId="16" fillId="2" borderId="20" xfId="0" applyNumberFormat="1" applyFont="1" applyFill="1" applyBorder="1" applyAlignment="1">
      <alignment horizontal="center" vertical="top" shrinkToFit="1"/>
    </xf>
    <xf numFmtId="1" fontId="16" fillId="2" borderId="1" xfId="0" applyNumberFormat="1" applyFont="1" applyFill="1" applyBorder="1" applyAlignment="1">
      <alignment horizontal="center" vertical="top" shrinkToFit="1"/>
    </xf>
    <xf numFmtId="186" fontId="16" fillId="2" borderId="15" xfId="0" applyNumberFormat="1" applyFont="1" applyFill="1" applyBorder="1" applyAlignment="1">
      <alignment horizontal="left" vertical="top" indent="1" shrinkToFit="1"/>
    </xf>
    <xf numFmtId="0" fontId="12" fillId="2" borderId="15" xfId="0" applyFont="1" applyFill="1" applyBorder="1" applyAlignment="1">
      <alignment vertical="top" wrapText="1"/>
    </xf>
    <xf numFmtId="0" fontId="0" fillId="2" borderId="15" xfId="0" applyFill="1" applyBorder="1" applyAlignment="1">
      <alignment horizontal="left" vertical="top" wrapText="1" indent="1"/>
    </xf>
    <xf numFmtId="0" fontId="0" fillId="2" borderId="21" xfId="0" applyFill="1" applyBorder="1" applyAlignment="1">
      <alignment horizontal="left" vertical="top" wrapText="1" indent="1"/>
    </xf>
    <xf numFmtId="0" fontId="0" fillId="2" borderId="21" xfId="0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top" wrapText="1" indent="1"/>
    </xf>
    <xf numFmtId="0" fontId="12" fillId="2" borderId="21" xfId="0" applyFont="1" applyFill="1" applyBorder="1" applyAlignment="1">
      <alignment vertical="top" wrapText="1"/>
    </xf>
    <xf numFmtId="4" fontId="16" fillId="2" borderId="21" xfId="0" applyNumberFormat="1" applyFont="1" applyFill="1" applyBorder="1" applyAlignment="1">
      <alignment horizontal="right" vertical="top" shrinkToFit="1"/>
    </xf>
    <xf numFmtId="0" fontId="18" fillId="2" borderId="21" xfId="0" applyFont="1" applyFill="1" applyBorder="1" applyAlignment="1">
      <alignment horizontal="left" vertical="top" wrapText="1" indent="1"/>
    </xf>
    <xf numFmtId="4" fontId="19" fillId="2" borderId="21" xfId="0" applyNumberFormat="1" applyFont="1" applyFill="1" applyBorder="1" applyAlignment="1">
      <alignment horizontal="right" vertical="top" shrinkToFit="1"/>
    </xf>
    <xf numFmtId="0" fontId="20" fillId="2" borderId="21" xfId="0" applyFont="1" applyFill="1" applyBorder="1" applyAlignment="1">
      <alignment horizontal="left" vertical="top" wrapText="1" indent="1"/>
    </xf>
    <xf numFmtId="4" fontId="21" fillId="2" borderId="21" xfId="0" applyNumberFormat="1" applyFont="1" applyFill="1" applyBorder="1" applyAlignment="1">
      <alignment horizontal="right" vertical="top" shrinkToFit="1"/>
    </xf>
    <xf numFmtId="0" fontId="15" fillId="2" borderId="21" xfId="0" applyFont="1" applyFill="1" applyBorder="1" applyAlignment="1">
      <alignment vertical="top" wrapText="1"/>
    </xf>
    <xf numFmtId="0" fontId="14" fillId="2" borderId="21" xfId="0" applyFont="1" applyFill="1" applyBorder="1" applyAlignment="1">
      <alignment horizontal="left" vertical="top" wrapText="1" indent="8"/>
    </xf>
    <xf numFmtId="4" fontId="22" fillId="2" borderId="21" xfId="0" applyNumberFormat="1" applyFont="1" applyFill="1" applyBorder="1" applyAlignment="1">
      <alignment horizontal="left" vertical="top" indent="3" shrinkToFit="1"/>
    </xf>
    <xf numFmtId="0" fontId="15" fillId="2" borderId="19" xfId="0" applyFont="1" applyFill="1" applyBorder="1" applyAlignment="1">
      <alignment horizontal="left" vertical="top" wrapText="1" indent="8"/>
    </xf>
    <xf numFmtId="0" fontId="14" fillId="2" borderId="19" xfId="0" applyFont="1" applyFill="1" applyBorder="1" applyAlignment="1">
      <alignment horizontal="left" vertical="top" wrapText="1" indent="8"/>
    </xf>
    <xf numFmtId="4" fontId="22" fillId="2" borderId="19" xfId="0" applyNumberFormat="1" applyFont="1" applyFill="1" applyBorder="1" applyAlignment="1">
      <alignment horizontal="left" vertical="top" indent="3" shrinkToFit="1"/>
    </xf>
    <xf numFmtId="0" fontId="15" fillId="2" borderId="15" xfId="0" applyFont="1" applyFill="1" applyBorder="1" applyAlignment="1">
      <alignment horizontal="left" vertical="top" wrapText="1" indent="8"/>
    </xf>
    <xf numFmtId="0" fontId="14" fillId="2" borderId="15" xfId="0" applyFont="1" applyFill="1" applyBorder="1" applyAlignment="1">
      <alignment horizontal="left" vertical="top" wrapText="1" indent="8"/>
    </xf>
    <xf numFmtId="4" fontId="16" fillId="2" borderId="15" xfId="0" applyNumberFormat="1" applyFont="1" applyFill="1" applyBorder="1" applyAlignment="1">
      <alignment horizontal="left" vertical="top" indent="3" shrinkToFit="1"/>
    </xf>
    <xf numFmtId="186" fontId="16" fillId="2" borderId="21" xfId="0" applyNumberFormat="1" applyFont="1" applyFill="1" applyBorder="1" applyAlignment="1">
      <alignment horizontal="left" vertical="top" indent="1" shrinkToFit="1"/>
    </xf>
    <xf numFmtId="0" fontId="13" fillId="2" borderId="15" xfId="0" applyFont="1" applyFill="1" applyBorder="1" applyAlignment="1">
      <alignment vertical="top" wrapText="1"/>
    </xf>
    <xf numFmtId="0" fontId="0" fillId="2" borderId="15" xfId="0" applyFill="1" applyBorder="1" applyAlignment="1">
      <alignment horizontal="left" vertical="center" wrapText="1"/>
    </xf>
    <xf numFmtId="187" fontId="16" fillId="2" borderId="21" xfId="0" applyNumberFormat="1" applyFont="1" applyFill="1" applyBorder="1" applyAlignment="1">
      <alignment horizontal="left" vertical="top" indent="1" shrinkToFit="1"/>
    </xf>
    <xf numFmtId="0" fontId="13" fillId="2" borderId="21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2"/>
    </xf>
    <xf numFmtId="4" fontId="21" fillId="2" borderId="15" xfId="0" applyNumberFormat="1" applyFont="1" applyFill="1" applyBorder="1" applyAlignment="1">
      <alignment horizontal="right" vertical="top" shrinkToFit="1"/>
    </xf>
    <xf numFmtId="0" fontId="0" fillId="2" borderId="21" xfId="0" applyFill="1" applyBorder="1" applyAlignment="1">
      <alignment horizontal="left" vertical="top" wrapText="1" indent="2"/>
    </xf>
    <xf numFmtId="0" fontId="1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top"/>
    </xf>
    <xf numFmtId="0" fontId="23" fillId="2" borderId="1" xfId="0" applyFont="1" applyFill="1" applyBorder="1" applyAlignment="1">
      <alignment horizontal="center" vertical="top" wrapText="1"/>
    </xf>
    <xf numFmtId="2" fontId="21" fillId="2" borderId="21" xfId="0" applyNumberFormat="1" applyFont="1" applyFill="1" applyBorder="1" applyAlignment="1">
      <alignment horizontal="right" vertical="top" indent="1" shrinkToFit="1"/>
    </xf>
    <xf numFmtId="2" fontId="21" fillId="2" borderId="21" xfId="0" applyNumberFormat="1" applyFont="1" applyFill="1" applyBorder="1" applyAlignment="1">
      <alignment horizontal="right" vertical="top" shrinkToFit="1"/>
    </xf>
    <xf numFmtId="4" fontId="16" fillId="2" borderId="22" xfId="0" applyNumberFormat="1" applyFont="1" applyFill="1" applyBorder="1" applyAlignment="1">
      <alignment horizontal="right" vertical="top" shrinkToFit="1"/>
    </xf>
    <xf numFmtId="4" fontId="16" fillId="2" borderId="1" xfId="0" applyNumberFormat="1" applyFont="1" applyFill="1" applyBorder="1" applyAlignment="1">
      <alignment horizontal="right" vertical="top" shrinkToFit="1"/>
    </xf>
    <xf numFmtId="4" fontId="19" fillId="2" borderId="22" xfId="0" applyNumberFormat="1" applyFont="1" applyFill="1" applyBorder="1" applyAlignment="1">
      <alignment horizontal="right" vertical="top" shrinkToFit="1"/>
    </xf>
    <xf numFmtId="4" fontId="19" fillId="2" borderId="1" xfId="0" applyNumberFormat="1" applyFont="1" applyFill="1" applyBorder="1" applyAlignment="1">
      <alignment horizontal="right" vertical="top" shrinkToFit="1"/>
    </xf>
    <xf numFmtId="4" fontId="21" fillId="2" borderId="22" xfId="0" applyNumberFormat="1" applyFont="1" applyFill="1" applyBorder="1" applyAlignment="1">
      <alignment horizontal="right" vertical="top" shrinkToFit="1"/>
    </xf>
    <xf numFmtId="2" fontId="19" fillId="2" borderId="21" xfId="0" applyNumberFormat="1" applyFont="1" applyFill="1" applyBorder="1" applyAlignment="1">
      <alignment horizontal="right" vertical="top" indent="1" shrinkToFit="1"/>
    </xf>
    <xf numFmtId="4" fontId="24" fillId="2" borderId="21" xfId="0" applyNumberFormat="1" applyFont="1" applyFill="1" applyBorder="1" applyAlignment="1">
      <alignment horizontal="center" vertical="top" shrinkToFit="1"/>
    </xf>
    <xf numFmtId="4" fontId="22" fillId="2" borderId="22" xfId="0" applyNumberFormat="1" applyFont="1" applyFill="1" applyBorder="1" applyAlignment="1">
      <alignment horizontal="left" vertical="top" indent="3" shrinkToFit="1"/>
    </xf>
    <xf numFmtId="4" fontId="22" fillId="2" borderId="1" xfId="0" applyNumberFormat="1" applyFont="1" applyFill="1" applyBorder="1" applyAlignment="1">
      <alignment horizontal="left" vertical="top" indent="3" shrinkToFit="1"/>
    </xf>
    <xf numFmtId="4" fontId="24" fillId="2" borderId="19" xfId="0" applyNumberFormat="1" applyFont="1" applyFill="1" applyBorder="1" applyAlignment="1">
      <alignment horizontal="center" vertical="top" shrinkToFit="1"/>
    </xf>
    <xf numFmtId="4" fontId="22" fillId="2" borderId="20" xfId="0" applyNumberFormat="1" applyFont="1" applyFill="1" applyBorder="1" applyAlignment="1">
      <alignment horizontal="left" vertical="top" indent="3" shrinkToFit="1"/>
    </xf>
    <xf numFmtId="4" fontId="16" fillId="2" borderId="15" xfId="0" applyNumberFormat="1" applyFont="1" applyFill="1" applyBorder="1" applyAlignment="1">
      <alignment horizontal="right" vertical="top" indent="1" shrinkToFit="1"/>
    </xf>
    <xf numFmtId="2" fontId="16" fillId="2" borderId="15" xfId="0" applyNumberFormat="1" applyFont="1" applyFill="1" applyBorder="1" applyAlignment="1">
      <alignment horizontal="right" vertical="top" indent="1" shrinkToFit="1"/>
    </xf>
    <xf numFmtId="4" fontId="16" fillId="2" borderId="16" xfId="0" applyNumberFormat="1" applyFont="1" applyFill="1" applyBorder="1" applyAlignment="1">
      <alignment horizontal="right" vertical="top" indent="1" shrinkToFit="1"/>
    </xf>
    <xf numFmtId="0" fontId="0" fillId="2" borderId="16" xfId="0" applyFill="1" applyBorder="1" applyAlignment="1">
      <alignment horizontal="left" vertical="center" wrapText="1"/>
    </xf>
    <xf numFmtId="4" fontId="16" fillId="2" borderId="23" xfId="0" applyNumberFormat="1" applyFont="1" applyFill="1" applyBorder="1" applyAlignment="1">
      <alignment horizontal="right" vertical="top" shrinkToFit="1"/>
    </xf>
    <xf numFmtId="2" fontId="21" fillId="2" borderId="22" xfId="0" applyNumberFormat="1" applyFont="1" applyFill="1" applyBorder="1" applyAlignment="1">
      <alignment horizontal="right" vertical="top" shrinkToFit="1"/>
    </xf>
    <xf numFmtId="2" fontId="21" fillId="2" borderId="15" xfId="0" applyNumberFormat="1" applyFont="1" applyFill="1" applyBorder="1" applyAlignment="1">
      <alignment horizontal="right" vertical="top" indent="1" shrinkToFit="1"/>
    </xf>
    <xf numFmtId="2" fontId="21" fillId="2" borderId="16" xfId="0" applyNumberFormat="1" applyFont="1" applyFill="1" applyBorder="1" applyAlignment="1">
      <alignment horizontal="right" vertical="top" shrinkToFit="1"/>
    </xf>
    <xf numFmtId="4" fontId="0" fillId="2" borderId="0" xfId="0" applyNumberFormat="1" applyFill="1" applyAlignment="1">
      <alignment horizontal="left" vertical="top"/>
    </xf>
    <xf numFmtId="0" fontId="11" fillId="2" borderId="21" xfId="0" applyFont="1" applyFill="1" applyBorder="1" applyAlignment="1">
      <alignment horizontal="left" vertical="top" wrapText="1" indent="2"/>
    </xf>
    <xf numFmtId="0" fontId="25" fillId="2" borderId="21" xfId="0" applyFont="1" applyFill="1" applyBorder="1" applyAlignment="1">
      <alignment vertical="top" wrapText="1"/>
    </xf>
    <xf numFmtId="0" fontId="0" fillId="2" borderId="21" xfId="0" applyFont="1" applyFill="1" applyBorder="1" applyAlignment="1">
      <alignment horizontal="left" vertical="top" wrapText="1" indent="2"/>
    </xf>
    <xf numFmtId="0" fontId="14" fillId="2" borderId="15" xfId="0" applyFont="1" applyFill="1" applyBorder="1" applyAlignment="1">
      <alignment horizontal="left" vertical="top" wrapText="1" indent="1"/>
    </xf>
    <xf numFmtId="0" fontId="25" fillId="2" borderId="15" xfId="0" applyFont="1" applyFill="1" applyBorder="1" applyAlignment="1">
      <alignment vertical="top" wrapText="1"/>
    </xf>
    <xf numFmtId="4" fontId="16" fillId="2" borderId="15" xfId="0" applyNumberFormat="1" applyFont="1" applyFill="1" applyBorder="1" applyAlignment="1">
      <alignment horizontal="right" vertical="top" shrinkToFit="1"/>
    </xf>
    <xf numFmtId="4" fontId="21" fillId="2" borderId="1" xfId="0" applyNumberFormat="1" applyFont="1" applyFill="1" applyBorder="1" applyAlignment="1">
      <alignment horizontal="right" vertical="top" shrinkToFit="1"/>
    </xf>
    <xf numFmtId="188" fontId="0" fillId="2" borderId="1" xfId="0" applyNumberFormat="1" applyFill="1" applyBorder="1" applyAlignment="1">
      <alignment horizontal="left" vertical="top"/>
    </xf>
    <xf numFmtId="0" fontId="18" fillId="2" borderId="15" xfId="0" applyFont="1" applyFill="1" applyBorder="1" applyAlignment="1">
      <alignment horizontal="left" vertical="top" wrapText="1" indent="1"/>
    </xf>
    <xf numFmtId="0" fontId="11" fillId="2" borderId="15" xfId="0" applyFont="1" applyFill="1" applyBorder="1" applyAlignment="1">
      <alignment horizontal="left" vertical="top" wrapText="1" indent="2"/>
    </xf>
    <xf numFmtId="4" fontId="19" fillId="2" borderId="15" xfId="0" applyNumberFormat="1" applyFont="1" applyFill="1" applyBorder="1" applyAlignment="1">
      <alignment horizontal="right" vertical="top" shrinkToFit="1"/>
    </xf>
    <xf numFmtId="0" fontId="26" fillId="2" borderId="21" xfId="0" applyFont="1" applyFill="1" applyBorder="1" applyAlignment="1">
      <alignment horizontal="left" vertical="top" wrapText="1" indent="1"/>
    </xf>
    <xf numFmtId="4" fontId="27" fillId="2" borderId="21" xfId="0" applyNumberFormat="1" applyFont="1" applyFill="1" applyBorder="1" applyAlignment="1">
      <alignment horizontal="right" vertical="top" shrinkToFit="1"/>
    </xf>
    <xf numFmtId="4" fontId="19" fillId="2" borderId="16" xfId="0" applyNumberFormat="1" applyFont="1" applyFill="1" applyBorder="1" applyAlignment="1">
      <alignment horizontal="right" vertical="top" shrinkToFit="1"/>
    </xf>
    <xf numFmtId="4" fontId="16" fillId="2" borderId="16" xfId="0" applyNumberFormat="1" applyFont="1" applyFill="1" applyBorder="1" applyAlignment="1">
      <alignment horizontal="right" vertical="top" shrinkToFit="1"/>
    </xf>
    <xf numFmtId="4" fontId="27" fillId="2" borderId="22" xfId="0" applyNumberFormat="1" applyFont="1" applyFill="1" applyBorder="1" applyAlignment="1">
      <alignment horizontal="right" vertical="top" shrinkToFit="1"/>
    </xf>
    <xf numFmtId="4" fontId="27" fillId="2" borderId="1" xfId="0" applyNumberFormat="1" applyFont="1" applyFill="1" applyBorder="1" applyAlignment="1">
      <alignment horizontal="right" vertical="top" shrinkToFit="1"/>
    </xf>
    <xf numFmtId="0" fontId="28" fillId="2" borderId="21" xfId="0" applyFont="1" applyFill="1" applyBorder="1" applyAlignment="1">
      <alignment horizontal="left" vertical="top" wrapText="1" indent="1"/>
    </xf>
    <xf numFmtId="4" fontId="0" fillId="2" borderId="21" xfId="0" applyNumberFormat="1" applyFill="1" applyBorder="1" applyAlignment="1">
      <alignment horizontal="left" vertical="top" wrapText="1" indent="1"/>
    </xf>
    <xf numFmtId="189" fontId="16" fillId="2" borderId="21" xfId="0" applyNumberFormat="1" applyFont="1" applyFill="1" applyBorder="1" applyAlignment="1">
      <alignment horizontal="left" vertical="top" indent="1" shrinkToFit="1"/>
    </xf>
    <xf numFmtId="0" fontId="11" fillId="2" borderId="21" xfId="0" applyFont="1" applyFill="1" applyBorder="1" applyAlignment="1">
      <alignment horizontal="left" vertical="top" wrapText="1" indent="1"/>
    </xf>
    <xf numFmtId="58" fontId="14" fillId="2" borderId="21" xfId="0" applyNumberFormat="1" applyFont="1" applyFill="1" applyBorder="1" applyAlignment="1">
      <alignment horizontal="left" vertical="top" wrapText="1" indent="1"/>
    </xf>
    <xf numFmtId="4" fontId="29" fillId="2" borderId="21" xfId="0" applyNumberFormat="1" applyFont="1" applyFill="1" applyBorder="1" applyAlignment="1">
      <alignment horizontal="right" vertical="top" shrinkToFit="1"/>
    </xf>
    <xf numFmtId="4" fontId="19" fillId="2" borderId="23" xfId="0" applyNumberFormat="1" applyFont="1" applyFill="1" applyBorder="1" applyAlignment="1">
      <alignment horizontal="right" vertical="top" shrinkToFit="1"/>
    </xf>
    <xf numFmtId="4" fontId="29" fillId="2" borderId="23" xfId="0" applyNumberFormat="1" applyFont="1" applyFill="1" applyBorder="1" applyAlignment="1">
      <alignment horizontal="right" vertical="top" shrinkToFit="1"/>
    </xf>
    <xf numFmtId="187" fontId="21" fillId="2" borderId="21" xfId="0" applyNumberFormat="1" applyFont="1" applyFill="1" applyBorder="1" applyAlignment="1">
      <alignment horizontal="left" vertical="top" indent="1" shrinkToFit="1"/>
    </xf>
    <xf numFmtId="0" fontId="0" fillId="2" borderId="21" xfId="0" applyFont="1" applyFill="1" applyBorder="1" applyAlignment="1">
      <alignment horizontal="left" vertical="top" wrapText="1" indent="1"/>
    </xf>
    <xf numFmtId="2" fontId="16" fillId="2" borderId="21" xfId="0" applyNumberFormat="1" applyFont="1" applyFill="1" applyBorder="1" applyAlignment="1">
      <alignment horizontal="right" vertical="top" shrinkToFit="1"/>
    </xf>
    <xf numFmtId="2" fontId="16" fillId="2" borderId="21" xfId="0" applyNumberFormat="1" applyFont="1" applyFill="1" applyBorder="1" applyAlignment="1">
      <alignment horizontal="right" vertical="top" indent="1" shrinkToFit="1"/>
    </xf>
    <xf numFmtId="2" fontId="16" fillId="2" borderId="22" xfId="0" applyNumberFormat="1" applyFont="1" applyFill="1" applyBorder="1" applyAlignment="1">
      <alignment horizontal="right" vertical="top" shrinkToFit="1"/>
    </xf>
    <xf numFmtId="2" fontId="19" fillId="2" borderId="21" xfId="0" applyNumberFormat="1" applyFont="1" applyFill="1" applyBorder="1" applyAlignment="1">
      <alignment horizontal="right" vertical="top" shrinkToFit="1"/>
    </xf>
    <xf numFmtId="0" fontId="12" fillId="2" borderId="17" xfId="0" applyFont="1" applyFill="1" applyBorder="1" applyAlignment="1">
      <alignment vertical="top" wrapText="1"/>
    </xf>
    <xf numFmtId="0" fontId="0" fillId="2" borderId="17" xfId="0" applyFill="1" applyBorder="1" applyAlignment="1">
      <alignment horizontal="left" vertical="top" wrapText="1" indent="1"/>
    </xf>
    <xf numFmtId="4" fontId="21" fillId="2" borderId="17" xfId="0" applyNumberFormat="1" applyFont="1" applyFill="1" applyBorder="1" applyAlignment="1">
      <alignment horizontal="right" vertical="top" shrinkToFit="1"/>
    </xf>
    <xf numFmtId="0" fontId="15" fillId="2" borderId="19" xfId="0" applyFont="1" applyFill="1" applyBorder="1" applyAlignment="1">
      <alignment horizontal="right" vertical="top" wrapText="1" indent="2"/>
    </xf>
    <xf numFmtId="4" fontId="16" fillId="2" borderId="19" xfId="0" applyNumberFormat="1" applyFont="1" applyFill="1" applyBorder="1" applyAlignment="1">
      <alignment horizontal="left" vertical="top" indent="3" shrinkToFit="1"/>
    </xf>
    <xf numFmtId="0" fontId="14" fillId="2" borderId="19" xfId="0" applyFont="1" applyFill="1" applyBorder="1" applyAlignment="1">
      <alignment horizontal="right" vertical="top" wrapText="1" indent="2"/>
    </xf>
    <xf numFmtId="0" fontId="0" fillId="2" borderId="21" xfId="0" applyFill="1" applyBorder="1" applyAlignment="1">
      <alignment horizontal="left" wrapText="1"/>
    </xf>
    <xf numFmtId="0" fontId="12" fillId="2" borderId="19" xfId="0" applyFont="1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15" fillId="2" borderId="19" xfId="0" applyFont="1" applyFill="1" applyBorder="1" applyAlignment="1">
      <alignment horizontal="right" vertical="top" wrapText="1" indent="1"/>
    </xf>
    <xf numFmtId="0" fontId="14" fillId="2" borderId="19" xfId="0" applyFont="1" applyFill="1" applyBorder="1" applyAlignment="1">
      <alignment horizontal="right" vertical="top" wrapText="1" indent="1"/>
    </xf>
    <xf numFmtId="190" fontId="16" fillId="2" borderId="19" xfId="0" applyNumberFormat="1" applyFont="1" applyFill="1" applyBorder="1" applyAlignment="1">
      <alignment horizontal="right" vertical="top" shrinkToFit="1"/>
    </xf>
    <xf numFmtId="0" fontId="15" fillId="2" borderId="15" xfId="0" applyFont="1" applyFill="1" applyBorder="1" applyAlignment="1">
      <alignment horizontal="left" vertical="top" wrapText="1" indent="1"/>
    </xf>
    <xf numFmtId="41" fontId="0" fillId="2" borderId="15" xfId="0" applyNumberForma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top"/>
    </xf>
    <xf numFmtId="0" fontId="0" fillId="2" borderId="19" xfId="0" applyFill="1" applyBorder="1" applyAlignment="1">
      <alignment horizontal="right" vertical="top" wrapText="1" indent="3"/>
    </xf>
    <xf numFmtId="41" fontId="0" fillId="2" borderId="19" xfId="0" applyNumberFormat="1" applyFill="1" applyBorder="1" applyAlignment="1">
      <alignment horizontal="center" vertical="top"/>
    </xf>
    <xf numFmtId="0" fontId="15" fillId="2" borderId="19" xfId="0" applyFont="1" applyFill="1" applyBorder="1" applyAlignment="1">
      <alignment vertical="top"/>
    </xf>
    <xf numFmtId="41" fontId="16" fillId="2" borderId="19" xfId="0" applyNumberFormat="1" applyFont="1" applyFill="1" applyBorder="1" applyAlignment="1">
      <alignment horizontal="right" vertical="top" shrinkToFit="1"/>
    </xf>
    <xf numFmtId="0" fontId="15" fillId="2" borderId="19" xfId="0" applyFont="1" applyFill="1" applyBorder="1" applyAlignment="1">
      <alignment horizontal="left" vertical="top" wrapText="1" indent="2"/>
    </xf>
    <xf numFmtId="0" fontId="0" fillId="2" borderId="19" xfId="0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top" wrapText="1" indent="2"/>
    </xf>
    <xf numFmtId="0" fontId="14" fillId="2" borderId="0" xfId="0" applyFont="1" applyFill="1" applyAlignment="1">
      <alignment horizontal="left" vertical="top" wrapText="1" indent="2"/>
    </xf>
    <xf numFmtId="2" fontId="19" fillId="2" borderId="22" xfId="0" applyNumberFormat="1" applyFont="1" applyFill="1" applyBorder="1" applyAlignment="1">
      <alignment horizontal="right" vertical="top" shrinkToFit="1"/>
    </xf>
    <xf numFmtId="2" fontId="21" fillId="2" borderId="17" xfId="0" applyNumberFormat="1" applyFont="1" applyFill="1" applyBorder="1" applyAlignment="1">
      <alignment horizontal="right" vertical="top" indent="1" shrinkToFit="1"/>
    </xf>
    <xf numFmtId="0" fontId="0" fillId="2" borderId="20" xfId="0" applyFill="1" applyBorder="1" applyAlignment="1">
      <alignment horizontal="left" wrapText="1"/>
    </xf>
    <xf numFmtId="190" fontId="16" fillId="2" borderId="20" xfId="0" applyNumberFormat="1" applyFont="1" applyFill="1" applyBorder="1" applyAlignment="1">
      <alignment horizontal="right" vertical="top" shrinkToFit="1"/>
    </xf>
    <xf numFmtId="41" fontId="0" fillId="2" borderId="16" xfId="0" applyNumberFormat="1" applyFill="1" applyBorder="1" applyAlignment="1">
      <alignment horizontal="left" vertical="center" wrapText="1"/>
    </xf>
    <xf numFmtId="41" fontId="0" fillId="2" borderId="20" xfId="0" applyNumberFormat="1" applyFill="1" applyBorder="1" applyAlignment="1">
      <alignment horizontal="center" vertical="top"/>
    </xf>
    <xf numFmtId="41" fontId="16" fillId="2" borderId="19" xfId="0" applyNumberFormat="1" applyFont="1" applyFill="1" applyBorder="1" applyAlignment="1">
      <alignment horizontal="right" vertical="top" indent="1" shrinkToFit="1"/>
    </xf>
    <xf numFmtId="41" fontId="16" fillId="2" borderId="20" xfId="0" applyNumberFormat="1" applyFont="1" applyFill="1" applyBorder="1" applyAlignment="1">
      <alignment horizontal="right" vertical="top" indent="1" shrinkToFit="1"/>
    </xf>
    <xf numFmtId="41" fontId="16" fillId="2" borderId="20" xfId="0" applyNumberFormat="1" applyFont="1" applyFill="1" applyBorder="1" applyAlignment="1">
      <alignment horizontal="right" vertical="top" shrinkToFit="1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179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91" fontId="30" fillId="2" borderId="0" xfId="4" applyNumberFormat="1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188" fontId="30" fillId="2" borderId="0" xfId="0" applyNumberFormat="1" applyFont="1" applyFill="1" applyAlignment="1">
      <alignment horizontal="right" vertical="center"/>
    </xf>
    <xf numFmtId="188" fontId="30" fillId="2" borderId="0" xfId="4" applyNumberFormat="1" applyFont="1" applyFill="1" applyAlignment="1">
      <alignment horizontal="right" vertical="center"/>
    </xf>
    <xf numFmtId="39" fontId="1" fillId="2" borderId="0" xfId="0" applyNumberFormat="1" applyFont="1" applyFill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right" vertical="center"/>
    </xf>
    <xf numFmtId="191" fontId="1" fillId="2" borderId="5" xfId="4" applyNumberFormat="1" applyFont="1" applyFill="1" applyBorder="1" applyAlignment="1">
      <alignment horizontal="center" vertical="center"/>
    </xf>
    <xf numFmtId="191" fontId="1" fillId="2" borderId="0" xfId="4" applyNumberFormat="1" applyFont="1" applyFill="1" applyAlignment="1">
      <alignment horizontal="center" vertical="center"/>
    </xf>
    <xf numFmtId="191" fontId="1" fillId="2" borderId="5" xfId="4" applyNumberFormat="1" applyFont="1" applyFill="1" applyBorder="1" applyAlignment="1">
      <alignment horizontal="right" vertical="center"/>
    </xf>
    <xf numFmtId="4" fontId="0" fillId="2" borderId="0" xfId="0" applyNumberFormat="1" applyFill="1"/>
    <xf numFmtId="192" fontId="33" fillId="2" borderId="1" xfId="111" applyNumberFormat="1" applyFont="1" applyFill="1" applyBorder="1" applyAlignment="1">
      <alignment vertical="center"/>
    </xf>
    <xf numFmtId="2" fontId="1" fillId="2" borderId="0" xfId="0" applyNumberFormat="1" applyFont="1" applyFill="1" applyAlignment="1">
      <alignment vertical="center"/>
    </xf>
    <xf numFmtId="191" fontId="1" fillId="2" borderId="0" xfId="4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191" fontId="1" fillId="2" borderId="0" xfId="4" applyNumberFormat="1" applyFont="1" applyFill="1" applyAlignment="1">
      <alignment horizontal="right" vertical="center"/>
    </xf>
    <xf numFmtId="193" fontId="34" fillId="2" borderId="1" xfId="0" applyNumberFormat="1" applyFont="1" applyFill="1" applyBorder="1"/>
    <xf numFmtId="41" fontId="1" fillId="2" borderId="0" xfId="0" applyNumberFormat="1" applyFont="1" applyFill="1"/>
    <xf numFmtId="191" fontId="1" fillId="2" borderId="0" xfId="4" applyNumberFormat="1" applyFont="1" applyFill="1" applyBorder="1" applyAlignment="1">
      <alignment horizontal="center" vertical="center"/>
    </xf>
    <xf numFmtId="191" fontId="1" fillId="2" borderId="24" xfId="4" applyNumberFormat="1" applyFont="1" applyFill="1" applyBorder="1" applyAlignment="1">
      <alignment horizontal="right" vertical="center"/>
    </xf>
    <xf numFmtId="191" fontId="1" fillId="2" borderId="24" xfId="4" applyNumberFormat="1" applyFont="1" applyFill="1" applyBorder="1" applyAlignment="1">
      <alignment vertical="center"/>
    </xf>
    <xf numFmtId="191" fontId="1" fillId="2" borderId="0" xfId="4" applyNumberFormat="1" applyFont="1" applyFill="1" applyBorder="1" applyAlignment="1">
      <alignment horizontal="right" vertical="center"/>
    </xf>
    <xf numFmtId="191" fontId="1" fillId="2" borderId="0" xfId="4" applyNumberFormat="1" applyFont="1" applyFill="1" applyBorder="1" applyAlignment="1">
      <alignment vertical="center"/>
    </xf>
    <xf numFmtId="191" fontId="1" fillId="2" borderId="0" xfId="0" applyNumberFormat="1" applyFont="1" applyFill="1" applyAlignment="1">
      <alignment vertical="center"/>
    </xf>
    <xf numFmtId="179" fontId="2" fillId="2" borderId="0" xfId="0" applyNumberFormat="1" applyFont="1" applyFill="1" applyAlignment="1">
      <alignment vertical="center"/>
    </xf>
    <xf numFmtId="179" fontId="30" fillId="2" borderId="0" xfId="0" applyNumberFormat="1" applyFont="1" applyFill="1" applyAlignment="1">
      <alignment vertical="center"/>
    </xf>
    <xf numFmtId="179" fontId="31" fillId="2" borderId="0" xfId="0" applyNumberFormat="1" applyFont="1" applyFill="1" applyAlignment="1">
      <alignment vertical="center"/>
    </xf>
    <xf numFmtId="191" fontId="1" fillId="2" borderId="0" xfId="0" applyNumberFormat="1" applyFont="1" applyFill="1" applyAlignment="1">
      <alignment horizontal="right" vertical="center"/>
    </xf>
    <xf numFmtId="191" fontId="31" fillId="2" borderId="0" xfId="0" applyNumberFormat="1" applyFont="1" applyFill="1" applyAlignment="1">
      <alignment vertical="center"/>
    </xf>
    <xf numFmtId="191" fontId="31" fillId="2" borderId="0" xfId="0" applyNumberFormat="1" applyFont="1" applyFill="1" applyAlignment="1">
      <alignment horizontal="right" vertical="center"/>
    </xf>
    <xf numFmtId="39" fontId="31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" vertical="center"/>
    </xf>
    <xf numFmtId="39" fontId="1" fillId="2" borderId="24" xfId="0" applyNumberFormat="1" applyFont="1" applyFill="1" applyBorder="1" applyAlignment="1">
      <alignment vertical="center"/>
    </xf>
    <xf numFmtId="39" fontId="1" fillId="2" borderId="5" xfId="0" applyNumberFormat="1" applyFont="1" applyFill="1" applyBorder="1" applyAlignment="1">
      <alignment vertical="center"/>
    </xf>
    <xf numFmtId="39" fontId="1" fillId="2" borderId="5" xfId="0" applyNumberFormat="1" applyFont="1" applyFill="1" applyBorder="1" applyAlignment="1">
      <alignment horizontal="right" vertical="center"/>
    </xf>
    <xf numFmtId="39" fontId="1" fillId="2" borderId="0" xfId="0" applyNumberFormat="1" applyFont="1" applyFill="1" applyAlignment="1">
      <alignment horizontal="right" vertical="center"/>
    </xf>
    <xf numFmtId="41" fontId="36" fillId="2" borderId="25" xfId="64" applyNumberFormat="1" applyFont="1" applyFill="1" applyBorder="1" applyAlignment="1">
      <alignment horizontal="center" vertical="center" wrapText="1"/>
    </xf>
    <xf numFmtId="191" fontId="1" fillId="2" borderId="5" xfId="0" applyNumberFormat="1" applyFont="1" applyFill="1" applyBorder="1" applyAlignment="1">
      <alignment vertical="center"/>
    </xf>
    <xf numFmtId="0" fontId="32" fillId="2" borderId="0" xfId="0" applyFont="1" applyFill="1" applyAlignment="1">
      <alignment horizontal="center" vertical="center"/>
    </xf>
    <xf numFmtId="191" fontId="32" fillId="2" borderId="0" xfId="0" applyNumberFormat="1" applyFont="1" applyFill="1" applyAlignment="1">
      <alignment vertical="center"/>
    </xf>
    <xf numFmtId="191" fontId="32" fillId="2" borderId="0" xfId="0" applyNumberFormat="1" applyFont="1" applyFill="1" applyAlignment="1">
      <alignment horizontal="right" vertical="center"/>
    </xf>
    <xf numFmtId="39" fontId="32" fillId="2" borderId="0" xfId="0" applyNumberFormat="1" applyFont="1" applyFill="1" applyAlignment="1">
      <alignment vertical="center"/>
    </xf>
    <xf numFmtId="191" fontId="1" fillId="2" borderId="5" xfId="4" applyNumberFormat="1" applyFont="1" applyFill="1" applyBorder="1" applyAlignment="1">
      <alignment vertical="center"/>
    </xf>
    <xf numFmtId="191" fontId="1" fillId="2" borderId="5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 indent="3"/>
    </xf>
    <xf numFmtId="41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/>
    <xf numFmtId="179" fontId="1" fillId="2" borderId="0" xfId="4" applyNumberFormat="1" applyFont="1" applyFill="1" applyAlignment="1">
      <alignment vertical="center"/>
    </xf>
    <xf numFmtId="178" fontId="1" fillId="2" borderId="0" xfId="0" applyNumberFormat="1" applyFont="1" applyFill="1" applyAlignment="1">
      <alignment vertical="center"/>
    </xf>
    <xf numFmtId="179" fontId="32" fillId="2" borderId="0" xfId="0" applyNumberFormat="1" applyFont="1" applyFill="1" applyAlignment="1">
      <alignment vertical="center"/>
    </xf>
    <xf numFmtId="188" fontId="1" fillId="2" borderId="0" xfId="0" applyNumberFormat="1" applyFont="1" applyFill="1" applyAlignment="1">
      <alignment vertical="center"/>
    </xf>
    <xf numFmtId="0" fontId="0" fillId="2" borderId="8" xfId="0" applyFill="1" applyBorder="1"/>
    <xf numFmtId="0" fontId="32" fillId="2" borderId="0" xfId="0" applyFont="1" applyFill="1" applyAlignment="1">
      <alignment horizontal="left" vertical="center"/>
    </xf>
    <xf numFmtId="178" fontId="1" fillId="2" borderId="0" xfId="0" applyNumberFormat="1" applyFont="1" applyFill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0" xfId="0" applyNumberFormat="1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194" fontId="1" fillId="2" borderId="24" xfId="4" applyNumberFormat="1" applyFont="1" applyFill="1" applyBorder="1" applyAlignment="1">
      <alignment vertical="center"/>
    </xf>
    <xf numFmtId="194" fontId="1" fillId="2" borderId="0" xfId="4" applyNumberFormat="1" applyFont="1" applyFill="1" applyAlignment="1">
      <alignment vertical="center"/>
    </xf>
    <xf numFmtId="194" fontId="1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2" fillId="2" borderId="0" xfId="0" applyFont="1" applyFill="1"/>
    <xf numFmtId="0" fontId="1" fillId="2" borderId="8" xfId="0" applyFont="1" applyFill="1" applyBorder="1"/>
    <xf numFmtId="195" fontId="1" fillId="2" borderId="24" xfId="4" applyNumberFormat="1" applyFont="1" applyFill="1" applyBorder="1" applyAlignment="1">
      <alignment vertical="center"/>
    </xf>
    <xf numFmtId="195" fontId="1" fillId="2" borderId="0" xfId="4" applyNumberFormat="1" applyFont="1" applyFill="1" applyAlignment="1">
      <alignment vertical="center"/>
    </xf>
    <xf numFmtId="195" fontId="1" fillId="2" borderId="0" xfId="0" applyNumberFormat="1" applyFont="1" applyFill="1" applyAlignment="1">
      <alignment vertical="center"/>
    </xf>
    <xf numFmtId="39" fontId="1" fillId="2" borderId="24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Alignment="1">
      <alignment horizontal="right" vertical="center"/>
    </xf>
    <xf numFmtId="191" fontId="1" fillId="2" borderId="11" xfId="4" applyNumberFormat="1" applyFont="1" applyFill="1" applyBorder="1" applyAlignment="1">
      <alignment vertical="center"/>
    </xf>
    <xf numFmtId="178" fontId="1" fillId="2" borderId="0" xfId="4" applyFont="1" applyFill="1" applyBorder="1" applyAlignment="1">
      <alignment vertical="center"/>
    </xf>
    <xf numFmtId="191" fontId="1" fillId="2" borderId="11" xfId="4" applyNumberFormat="1" applyFont="1" applyFill="1" applyBorder="1" applyAlignment="1">
      <alignment horizontal="right" vertical="center"/>
    </xf>
    <xf numFmtId="178" fontId="1" fillId="2" borderId="0" xfId="4" applyFont="1" applyFill="1" applyAlignment="1">
      <alignment vertical="center"/>
    </xf>
    <xf numFmtId="41" fontId="1" fillId="2" borderId="9" xfId="0" applyNumberFormat="1" applyFont="1" applyFill="1" applyBorder="1"/>
    <xf numFmtId="0" fontId="1" fillId="2" borderId="0" xfId="0" applyFont="1" applyFill="1" applyAlignment="1">
      <alignment vertical="center" wrapText="1"/>
    </xf>
    <xf numFmtId="191" fontId="35" fillId="2" borderId="0" xfId="4" applyNumberFormat="1" applyFont="1" applyFill="1" applyAlignment="1">
      <alignment horizontal="right" vertical="center"/>
    </xf>
    <xf numFmtId="183" fontId="1" fillId="2" borderId="0" xfId="0" applyNumberFormat="1" applyFont="1" applyFill="1"/>
    <xf numFmtId="191" fontId="35" fillId="2" borderId="0" xfId="4" applyNumberFormat="1" applyFont="1" applyFill="1" applyAlignment="1">
      <alignment vertical="center"/>
    </xf>
    <xf numFmtId="191" fontId="30" fillId="2" borderId="24" xfId="4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191" fontId="30" fillId="2" borderId="5" xfId="0" applyNumberFormat="1" applyFont="1" applyFill="1" applyBorder="1" applyAlignment="1">
      <alignment vertical="center"/>
    </xf>
    <xf numFmtId="179" fontId="1" fillId="2" borderId="8" xfId="0" applyNumberFormat="1" applyFont="1" applyFill="1" applyBorder="1"/>
    <xf numFmtId="41" fontId="1" fillId="2" borderId="7" xfId="0" applyNumberFormat="1" applyFont="1" applyFill="1" applyBorder="1"/>
    <xf numFmtId="180" fontId="1" fillId="2" borderId="8" xfId="0" applyNumberFormat="1" applyFont="1" applyFill="1" applyBorder="1"/>
    <xf numFmtId="177" fontId="1" fillId="2" borderId="8" xfId="0" applyNumberFormat="1" applyFont="1" applyFill="1" applyBorder="1"/>
    <xf numFmtId="41" fontId="1" fillId="2" borderId="1" xfId="0" applyNumberFormat="1" applyFont="1" applyFill="1" applyBorder="1"/>
    <xf numFmtId="191" fontId="2" fillId="2" borderId="0" xfId="4" applyNumberFormat="1" applyFont="1" applyFill="1" applyAlignment="1">
      <alignment vertical="center"/>
    </xf>
    <xf numFmtId="191" fontId="2" fillId="2" borderId="0" xfId="4" applyNumberFormat="1" applyFont="1" applyFill="1" applyAlignment="1">
      <alignment horizontal="right" vertical="center"/>
    </xf>
    <xf numFmtId="191" fontId="2" fillId="2" borderId="0" xfId="4" applyNumberFormat="1" applyFont="1" applyFill="1" applyBorder="1" applyAlignment="1">
      <alignment vertical="center"/>
    </xf>
    <xf numFmtId="2" fontId="1" fillId="2" borderId="0" xfId="0" applyNumberFormat="1" applyFont="1" applyFill="1" applyAlignment="1">
      <alignment horizontal="right" vertical="center"/>
    </xf>
    <xf numFmtId="178" fontId="1" fillId="2" borderId="0" xfId="4" applyFont="1" applyFill="1" applyAlignment="1">
      <alignment horizontal="right" vertical="center"/>
    </xf>
    <xf numFmtId="39" fontId="1" fillId="2" borderId="24" xfId="4" applyNumberFormat="1" applyFont="1" applyFill="1" applyBorder="1" applyAlignment="1">
      <alignment horizontal="right" vertical="center"/>
    </xf>
    <xf numFmtId="179" fontId="2" fillId="2" borderId="0" xfId="4" applyNumberFormat="1" applyFont="1" applyFill="1" applyAlignment="1">
      <alignment horizontal="right"/>
    </xf>
    <xf numFmtId="0" fontId="35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184" fontId="1" fillId="2" borderId="0" xfId="94" applyNumberFormat="1" applyFont="1" applyFill="1"/>
    <xf numFmtId="184" fontId="1" fillId="2" borderId="0" xfId="75" applyNumberFormat="1" applyFont="1" applyFill="1"/>
    <xf numFmtId="41" fontId="1" fillId="2" borderId="0" xfId="76" applyNumberFormat="1" applyFont="1" applyFill="1" applyBorder="1" applyAlignment="1">
      <alignment horizontal="right" vertical="center"/>
    </xf>
    <xf numFmtId="0" fontId="35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vertical="center"/>
    </xf>
    <xf numFmtId="41" fontId="0" fillId="0" borderId="0" xfId="0" applyNumberFormat="1"/>
    <xf numFmtId="183" fontId="0" fillId="0" borderId="0" xfId="0" applyNumberFormat="1"/>
    <xf numFmtId="0" fontId="11" fillId="0" borderId="0" xfId="0" applyFont="1" applyAlignment="1">
      <alignment horizontal="center"/>
    </xf>
    <xf numFmtId="0" fontId="11" fillId="0" borderId="0" xfId="0" applyFont="1"/>
    <xf numFmtId="41" fontId="11" fillId="0" borderId="0" xfId="0" applyNumberFormat="1" applyFont="1"/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1" fontId="11" fillId="0" borderId="1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41" fontId="0" fillId="2" borderId="9" xfId="0" applyNumberFormat="1" applyFill="1" applyBorder="1"/>
    <xf numFmtId="41" fontId="0" fillId="2" borderId="0" xfId="0" applyNumberFormat="1" applyFill="1"/>
    <xf numFmtId="4" fontId="0" fillId="0" borderId="0" xfId="0" applyNumberFormat="1"/>
    <xf numFmtId="0" fontId="0" fillId="0" borderId="8" xfId="0" applyBorder="1"/>
    <xf numFmtId="178" fontId="37" fillId="2" borderId="0" xfId="4" applyFont="1" applyFill="1" applyBorder="1" applyAlignment="1">
      <alignment horizontal="center" vertical="center"/>
    </xf>
    <xf numFmtId="41" fontId="0" fillId="2" borderId="1" xfId="0" applyNumberFormat="1" applyFill="1" applyBorder="1"/>
    <xf numFmtId="41" fontId="0" fillId="2" borderId="5" xfId="0" applyNumberFormat="1" applyFill="1" applyBorder="1"/>
    <xf numFmtId="41" fontId="0" fillId="0" borderId="5" xfId="0" applyNumberFormat="1" applyBorder="1"/>
    <xf numFmtId="41" fontId="0" fillId="2" borderId="10" xfId="0" applyNumberFormat="1" applyFill="1" applyBorder="1"/>
    <xf numFmtId="0" fontId="0" fillId="0" borderId="0" xfId="0" applyAlignment="1">
      <alignment horizontal="left" wrapText="1"/>
    </xf>
    <xf numFmtId="41" fontId="0" fillId="0" borderId="24" xfId="0" applyNumberFormat="1" applyBorder="1"/>
    <xf numFmtId="184" fontId="38" fillId="0" borderId="1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3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center"/>
    </xf>
    <xf numFmtId="41" fontId="6" fillId="0" borderId="1" xfId="4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left" vertical="center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111" applyFont="1" applyFill="1" applyBorder="1" applyAlignment="1" quotePrefix="1">
      <alignment horizontal="center" vertical="center"/>
    </xf>
    <xf numFmtId="0" fontId="6" fillId="0" borderId="1" xfId="111" applyFont="1" applyFill="1" applyBorder="1" applyAlignment="1" quotePrefix="1">
      <alignment horizontal="center" vertical="center" wrapText="1"/>
    </xf>
    <xf numFmtId="41" fontId="6" fillId="0" borderId="1" xfId="50" applyNumberFormat="1" applyFont="1" applyFill="1" applyBorder="1" applyAlignment="1" quotePrefix="1">
      <alignment horizontal="center" vertical="center"/>
    </xf>
    <xf numFmtId="184" fontId="6" fillId="0" borderId="1" xfId="86" applyNumberFormat="1" applyFont="1" applyFill="1" applyBorder="1" applyAlignment="1" quotePrefix="1">
      <alignment horizontal="center" vertical="center" wrapText="1"/>
    </xf>
    <xf numFmtId="0" fontId="6" fillId="0" borderId="1" xfId="111" applyFont="1" applyFill="1" applyBorder="1" applyAlignment="1" quotePrefix="1">
      <alignment horizontal="left" vertical="center" wrapText="1"/>
    </xf>
    <xf numFmtId="41" fontId="4" fillId="0" borderId="0" xfId="50" applyNumberFormat="1" applyFont="1" applyAlignment="1" quotePrefix="1">
      <alignment horizontal="center" vertical="center"/>
    </xf>
    <xf numFmtId="184" fontId="4" fillId="0" borderId="1" xfId="86" applyNumberFormat="1" applyFont="1" applyBorder="1" applyAlignment="1" quotePrefix="1">
      <alignment horizontal="center"/>
    </xf>
    <xf numFmtId="0" fontId="5" fillId="0" borderId="1" xfId="111" applyFont="1" applyFill="1" applyBorder="1" applyAlignment="1" quotePrefix="1">
      <alignment horizontal="center" vertical="center"/>
    </xf>
  </cellXfs>
  <cellStyles count="1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[0] 10" xfId="49"/>
    <cellStyle name="Comma [0] 2" xfId="50"/>
    <cellStyle name="Comma [0] 2 2" xfId="51"/>
    <cellStyle name="Comma [0] 2 2 2" xfId="52"/>
    <cellStyle name="Comma [0] 2 3" xfId="53"/>
    <cellStyle name="Comma [0] 2 3 2" xfId="54"/>
    <cellStyle name="Comma [0] 2 4" xfId="55"/>
    <cellStyle name="Comma [0] 2 4 2" xfId="56"/>
    <cellStyle name="Comma [0] 2 5" xfId="57"/>
    <cellStyle name="Comma [0] 2 6" xfId="58"/>
    <cellStyle name="Comma [0] 3" xfId="59"/>
    <cellStyle name="Comma [0] 3 2" xfId="60"/>
    <cellStyle name="Comma [0] 4" xfId="61"/>
    <cellStyle name="Comma [0] 4 2" xfId="62"/>
    <cellStyle name="Comma [0] 4 3" xfId="63"/>
    <cellStyle name="Comma [0] 5" xfId="64"/>
    <cellStyle name="Comma [0] 5 2" xfId="65"/>
    <cellStyle name="Comma [0] 6" xfId="66"/>
    <cellStyle name="Comma [0] 6 2" xfId="67"/>
    <cellStyle name="Comma [0] 7" xfId="68"/>
    <cellStyle name="Comma [0] 7 2" xfId="69"/>
    <cellStyle name="Comma [0] 7 3" xfId="70"/>
    <cellStyle name="Comma [0] 8" xfId="71"/>
    <cellStyle name="Comma [0] 8 2" xfId="72"/>
    <cellStyle name="Comma [0] 8 3" xfId="73"/>
    <cellStyle name="Comma [0] 9" xfId="74"/>
    <cellStyle name="Comma 10" xfId="75"/>
    <cellStyle name="Comma 11" xfId="76"/>
    <cellStyle name="Comma 12" xfId="77"/>
    <cellStyle name="Comma 13" xfId="78"/>
    <cellStyle name="Comma 14" xfId="79"/>
    <cellStyle name="Comma 2" xfId="80"/>
    <cellStyle name="Comma 2 2" xfId="81"/>
    <cellStyle name="Comma 2 2 2" xfId="82"/>
    <cellStyle name="Comma 2 3" xfId="83"/>
    <cellStyle name="Comma 2 4" xfId="84"/>
    <cellStyle name="Comma 2 5" xfId="85"/>
    <cellStyle name="Comma 3" xfId="86"/>
    <cellStyle name="Comma 3 2" xfId="87"/>
    <cellStyle name="Comma 3 3" xfId="88"/>
    <cellStyle name="Comma 4" xfId="89"/>
    <cellStyle name="Comma 5" xfId="90"/>
    <cellStyle name="Comma 6" xfId="91"/>
    <cellStyle name="Comma 7" xfId="92"/>
    <cellStyle name="Comma 8" xfId="93"/>
    <cellStyle name="Comma 9" xfId="94"/>
    <cellStyle name="Currency [0] 2" xfId="95"/>
    <cellStyle name="Currency [0] 2 2" xfId="96"/>
    <cellStyle name="Currency [0] 3" xfId="97"/>
    <cellStyle name="Currency [0] 4" xfId="98"/>
    <cellStyle name="Hyperlink 2" xfId="99"/>
    <cellStyle name="Hyperlink 3" xfId="100"/>
    <cellStyle name="Hyperlink 4" xfId="101"/>
    <cellStyle name="Normal 10" xfId="102"/>
    <cellStyle name="Normal 10 2" xfId="103"/>
    <cellStyle name="Normal 10 3" xfId="104"/>
    <cellStyle name="Normal 11" xfId="105"/>
    <cellStyle name="Normal 11 2" xfId="106"/>
    <cellStyle name="Normal 12" xfId="107"/>
    <cellStyle name="Normal 13" xfId="108"/>
    <cellStyle name="Normal 153" xfId="109"/>
    <cellStyle name="Normal 154" xfId="110"/>
    <cellStyle name="Normal 2" xfId="111"/>
    <cellStyle name="Normal 2 2" xfId="112"/>
    <cellStyle name="Normal 2 2 2" xfId="113"/>
    <cellStyle name="Normal 2 3" xfId="114"/>
    <cellStyle name="Normal 2 4" xfId="115"/>
    <cellStyle name="Normal 2 5" xfId="116"/>
    <cellStyle name="Normal 2 5 2" xfId="117"/>
    <cellStyle name="Normal 2 6" xfId="118"/>
    <cellStyle name="Normal 2 7" xfId="119"/>
    <cellStyle name="Normal 2 8" xfId="120"/>
    <cellStyle name="Normal 3" xfId="121"/>
    <cellStyle name="Normal 3 2" xfId="122"/>
    <cellStyle name="Normal 3 2 2" xfId="123"/>
    <cellStyle name="Normal 3 3" xfId="124"/>
    <cellStyle name="Normal 3 4" xfId="125"/>
    <cellStyle name="Normal 3 5" xfId="126"/>
    <cellStyle name="Normal 3 6" xfId="127"/>
    <cellStyle name="Normal 4" xfId="128"/>
    <cellStyle name="Normal 4 2" xfId="129"/>
    <cellStyle name="Normal 5" xfId="130"/>
    <cellStyle name="Normal 5 2" xfId="131"/>
    <cellStyle name="Normal 5 3" xfId="132"/>
    <cellStyle name="Normal 6" xfId="133"/>
    <cellStyle name="Normal 6 2" xfId="134"/>
    <cellStyle name="Normal 6 3" xfId="135"/>
    <cellStyle name="Normal 7" xfId="136"/>
    <cellStyle name="Normal 7 2" xfId="137"/>
    <cellStyle name="Normal 7 3" xfId="138"/>
    <cellStyle name="Normal 8" xfId="139"/>
    <cellStyle name="Normal 8 2" xfId="140"/>
    <cellStyle name="Normal 9" xfId="141"/>
    <cellStyle name="Normal 9 2" xfId="142"/>
    <cellStyle name="Normal 9 3" xfId="143"/>
    <cellStyle name="Percent 2" xfId="144"/>
    <cellStyle name="Percent 2 2" xfId="145"/>
    <cellStyle name="Percent 3" xfId="146"/>
    <cellStyle name="Percent 3 2" xfId="147"/>
    <cellStyle name="Percent 4" xfId="148"/>
    <cellStyle name="Percent 4 2" xfId="149"/>
    <cellStyle name="Percent 5" xfId="150"/>
    <cellStyle name="Percent 5 2" xfId="1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9.xml"/><Relationship Id="rId16" Type="http://schemas.openxmlformats.org/officeDocument/2006/relationships/externalLink" Target="externalLinks/externalLink8.xml"/><Relationship Id="rId15" Type="http://schemas.openxmlformats.org/officeDocument/2006/relationships/externalLink" Target="externalLinks/externalLink7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36829</xdr:colOff>
      <xdr:row>417</xdr:row>
      <xdr:rowOff>110967</xdr:rowOff>
    </xdr:from>
    <xdr:ext cx="9469120" cy="10795"/>
    <xdr:sp>
      <xdr:nvSpPr>
        <xdr:cNvPr id="3" name="Shape 3"/>
        <xdr:cNvSpPr/>
      </xdr:nvSpPr>
      <xdr:spPr>
        <a:xfrm>
          <a:off x="741045" y="83701890"/>
          <a:ext cx="9469120" cy="10795"/>
        </a:xfrm>
        <a:custGeom>
          <a:avLst/>
          <a:gdLst/>
          <a:ahLst/>
          <a:cxnLst/>
          <a:rect l="0" t="0" r="0" b="0"/>
          <a:pathLst>
            <a:path w="9469120" h="10795">
              <a:moveTo>
                <a:pt x="0" y="0"/>
              </a:moveTo>
              <a:lnTo>
                <a:pt x="9468612" y="0"/>
              </a:lnTo>
            </a:path>
            <a:path w="9469120" h="10795">
              <a:moveTo>
                <a:pt x="0" y="1524"/>
              </a:moveTo>
              <a:lnTo>
                <a:pt x="9468612" y="1524"/>
              </a:lnTo>
            </a:path>
            <a:path w="9469120" h="10795">
              <a:moveTo>
                <a:pt x="0" y="3048"/>
              </a:moveTo>
              <a:lnTo>
                <a:pt x="9468612" y="3048"/>
              </a:lnTo>
            </a:path>
            <a:path w="9469120" h="10795">
              <a:moveTo>
                <a:pt x="0" y="4572"/>
              </a:moveTo>
              <a:lnTo>
                <a:pt x="9468612" y="4572"/>
              </a:lnTo>
            </a:path>
            <a:path w="9469120" h="10795">
              <a:moveTo>
                <a:pt x="0" y="6096"/>
              </a:moveTo>
              <a:lnTo>
                <a:pt x="9468612" y="6096"/>
              </a:lnTo>
            </a:path>
            <a:path w="9469120" h="10795">
              <a:moveTo>
                <a:pt x="0" y="7620"/>
              </a:moveTo>
              <a:lnTo>
                <a:pt x="9468612" y="7620"/>
              </a:lnTo>
            </a:path>
            <a:path w="9469120" h="10795">
              <a:moveTo>
                <a:pt x="0" y="9144"/>
              </a:moveTo>
              <a:lnTo>
                <a:pt x="9468612" y="9144"/>
              </a:lnTo>
            </a:path>
            <a:path w="9469120" h="10795">
              <a:moveTo>
                <a:pt x="0" y="10668"/>
              </a:moveTo>
              <a:lnTo>
                <a:pt x="9468612" y="10668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OneDrive\Documents\folder%202022\BKU\bku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g\Downloads\Aset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OneDrive\Documents\folder%202022\BUKU%20BANTU\BUKU%20BANTU%20PAJAK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OneDrive\Documents\folder%202022\BUKU%20BANTU\BUKU%20BANTU%20ADD%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OneDrive\Documents\folder%202022\LAPORAN\laporanrealisasi%20kegiatan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folder%20NOVI\New%20folder%20(2)\2024\buku%20bantu%202024\BUKU%20BANTU%20PBH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folder%20NOVI\New%20folder%20(2)\2024\buku%20bantu%202024\buku%20bantu%20PBP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folder%20NOVI\New%20folder%20(2)\2024\buku%20bantu%202024\BUKU%20BANTU%20DLL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folder%20NOVI\New%20folder%20(2)\2024\pencairan\buku%20paja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folder\ASET%20LAPORAN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22"/>
      <sheetName val="feb22"/>
      <sheetName val="marret22"/>
      <sheetName val="apr22"/>
      <sheetName val="mei22"/>
      <sheetName val="juni22"/>
      <sheetName val="jul22"/>
      <sheetName val="agustus22"/>
      <sheetName val="sep 22"/>
      <sheetName val="okt22"/>
      <sheetName val="nov20"/>
      <sheetName val="nov22"/>
      <sheetName val="des22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36">
          <cell r="K236">
            <v>78853104.7806625</v>
          </cell>
        </row>
      </sheetData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SET 2024"/>
      <sheetName val="RINCIAN ASET"/>
      <sheetName val="17. ASET KALURAHAN"/>
    </sheetNames>
    <sheetDataSet>
      <sheetData sheetId="0">
        <row r="52">
          <cell r="B52" t="str">
            <v>Laptop HP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22"/>
      <sheetName val="feb22"/>
      <sheetName val="maret22"/>
      <sheetName val="april 22"/>
      <sheetName val="mei20"/>
      <sheetName val="juni20"/>
      <sheetName val="JULI20"/>
      <sheetName val="agustus"/>
      <sheetName val="sept20"/>
      <sheetName val="okt"/>
      <sheetName val="NOV"/>
      <sheetName val="des"/>
      <sheetName val="Sheet12"/>
      <sheetName val="Sheet13"/>
      <sheetName val="Sheet14"/>
      <sheetName val="Sheet1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3">
          <cell r="J93">
            <v>77757491.9290552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hap i 2022"/>
      <sheetName val="tahap 2 2022"/>
      <sheetName val="tahap 3 2022"/>
      <sheetName val="tahap iv 22"/>
      <sheetName val="tahapv2020"/>
      <sheetName val="tahap6"/>
      <sheetName val="tahap7"/>
      <sheetName val="tahap822"/>
      <sheetName val="TAHAP922"/>
      <sheetName val="tahap10 20"/>
      <sheetName val="tahap11 2020"/>
      <sheetName val="tahap 12 2021"/>
      <sheetName val="TAHAP X"/>
      <sheetName val="TAHAP XI"/>
      <sheetName val="TAHAP XII"/>
      <sheetName val="Sheet3"/>
    </sheetNames>
    <sheetDataSet>
      <sheetData sheetId="0">
        <row r="57">
          <cell r="J57">
            <v>11148030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APORAN REALISASI JAN22"/>
      <sheetName val="FEB 22"/>
      <sheetName val="tahap3"/>
      <sheetName val="tahap4"/>
      <sheetName val="tahap5"/>
      <sheetName val="tahap6"/>
      <sheetName val="capaian"/>
      <sheetName val="tahap7"/>
      <sheetName val="tahap8"/>
      <sheetName val="tahap9"/>
      <sheetName val="tahap10"/>
      <sheetName val="tahap11"/>
      <sheetName val="Sheet3"/>
      <sheetName val="Sheet1"/>
      <sheetName val="TAHAP12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2">
          <cell r="J242">
            <v>6902740</v>
          </cell>
        </row>
        <row r="485">
          <cell r="I485">
            <v>550073000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23167000</v>
          </cell>
        </row>
        <row r="8">
          <cell r="D8">
            <v>10255150</v>
          </cell>
        </row>
      </sheetData>
      <sheetData sheetId="6"/>
      <sheetData sheetId="7"/>
      <sheetData sheetId="8"/>
      <sheetData sheetId="9">
        <row r="7">
          <cell r="D7">
            <v>10255150</v>
          </cell>
        </row>
        <row r="8">
          <cell r="D8">
            <v>23167000</v>
          </cell>
        </row>
      </sheetData>
      <sheetData sheetId="10"/>
      <sheetData sheetId="11">
        <row r="7">
          <cell r="D7">
            <v>6404500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</sheetNames>
    <sheetDataSet>
      <sheetData sheetId="0"/>
      <sheetData sheetId="1"/>
      <sheetData sheetId="2"/>
      <sheetData sheetId="3">
        <row r="7">
          <cell r="D7">
            <v>116045999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/>
      <sheetData sheetId="1">
        <row r="7">
          <cell r="D7">
            <v>8667</v>
          </cell>
        </row>
        <row r="8">
          <cell r="E8">
            <v>1733</v>
          </cell>
        </row>
      </sheetData>
      <sheetData sheetId="2">
        <row r="7">
          <cell r="D7">
            <v>11325</v>
          </cell>
        </row>
        <row r="8">
          <cell r="E8">
            <v>2265</v>
          </cell>
        </row>
        <row r="10">
          <cell r="D10">
            <v>179372</v>
          </cell>
        </row>
        <row r="11">
          <cell r="E11">
            <v>35874</v>
          </cell>
        </row>
      </sheetData>
      <sheetData sheetId="3"/>
      <sheetData sheetId="4">
        <row r="7">
          <cell r="D7">
            <v>321096</v>
          </cell>
        </row>
        <row r="8">
          <cell r="E8">
            <v>64219</v>
          </cell>
        </row>
      </sheetData>
      <sheetData sheetId="5">
        <row r="7">
          <cell r="D7">
            <v>261720</v>
          </cell>
        </row>
        <row r="8">
          <cell r="E8">
            <v>52344</v>
          </cell>
        </row>
        <row r="10">
          <cell r="D10">
            <v>148798</v>
          </cell>
        </row>
        <row r="11">
          <cell r="E11">
            <v>29760</v>
          </cell>
        </row>
      </sheetData>
      <sheetData sheetId="6"/>
      <sheetData sheetId="7">
        <row r="7">
          <cell r="D7">
            <v>117556</v>
          </cell>
        </row>
        <row r="8">
          <cell r="E8">
            <v>23511</v>
          </cell>
        </row>
        <row r="10">
          <cell r="D10">
            <v>137147</v>
          </cell>
        </row>
        <row r="11">
          <cell r="E11">
            <v>27429</v>
          </cell>
        </row>
      </sheetData>
      <sheetData sheetId="8">
        <row r="7">
          <cell r="D7">
            <v>20213000</v>
          </cell>
        </row>
      </sheetData>
      <sheetData sheetId="9">
        <row r="7">
          <cell r="D7">
            <v>170636</v>
          </cell>
        </row>
        <row r="8">
          <cell r="E8">
            <v>34127</v>
          </cell>
        </row>
      </sheetData>
      <sheetData sheetId="10">
        <row r="7">
          <cell r="D7">
            <v>81529</v>
          </cell>
        </row>
        <row r="8">
          <cell r="E8">
            <v>16306</v>
          </cell>
        </row>
        <row r="11">
          <cell r="D11">
            <v>57108</v>
          </cell>
        </row>
        <row r="12">
          <cell r="E12">
            <v>11422</v>
          </cell>
        </row>
      </sheetData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">
          <cell r="K50">
            <v>41964010</v>
          </cell>
        </row>
      </sheetData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SET 2022"/>
      <sheetName val="RINCIAN ASET 2022"/>
      <sheetName val="17. ASET KALURAHAN"/>
    </sheetNames>
    <sheetDataSet>
      <sheetData sheetId="0" refreshError="1">
        <row r="8">
          <cell r="F8" t="str">
            <v>Koreksi DPMKP2KB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13" workbookViewId="0">
      <selection activeCell="E26" sqref="E26"/>
    </sheetView>
  </sheetViews>
  <sheetFormatPr defaultColWidth="9.18181818181818" defaultRowHeight="14.5" outlineLevelCol="5"/>
  <cols>
    <col min="1" max="1" width="4.72727272727273" style="495" customWidth="1"/>
    <col min="2" max="2" width="3.81818181818182" style="495" customWidth="1"/>
    <col min="3" max="3" width="5.54545454545455" style="495" customWidth="1"/>
    <col min="4" max="4" width="37.1818181818182" style="495" customWidth="1"/>
    <col min="5" max="5" width="44.2727272727273" style="495" customWidth="1"/>
    <col min="6" max="6" width="13.4545454545455" style="495" customWidth="1"/>
    <col min="7" max="16384" width="9.18181818181818" style="495"/>
  </cols>
  <sheetData>
    <row r="1" ht="15.5" spans="1:6">
      <c r="A1" s="496"/>
      <c r="B1" s="496"/>
      <c r="C1" s="496"/>
      <c r="D1" s="496"/>
      <c r="E1" s="497" t="s">
        <v>0</v>
      </c>
      <c r="F1" s="496"/>
    </row>
    <row r="2" ht="15.5" spans="1:6">
      <c r="A2" s="496"/>
      <c r="B2" s="496"/>
      <c r="C2" s="496"/>
      <c r="D2" s="496"/>
      <c r="E2" s="497" t="s">
        <v>1</v>
      </c>
      <c r="F2" s="496"/>
    </row>
    <row r="3" ht="15.5" spans="1:6">
      <c r="A3" s="496"/>
      <c r="B3" s="496"/>
      <c r="C3" s="496"/>
      <c r="D3" s="496"/>
      <c r="E3" s="498" t="s">
        <v>2</v>
      </c>
      <c r="F3" s="496"/>
    </row>
    <row r="4" ht="15.5" spans="1:6">
      <c r="A4" s="496"/>
      <c r="B4" s="496"/>
      <c r="C4" s="496"/>
      <c r="D4" s="496"/>
      <c r="E4" s="497" t="s">
        <v>3</v>
      </c>
      <c r="F4" s="496"/>
    </row>
    <row r="5" ht="15.5" spans="1:6">
      <c r="A5" s="496"/>
      <c r="B5" s="496"/>
      <c r="C5" s="496"/>
      <c r="D5" s="496"/>
      <c r="E5" s="497" t="s">
        <v>4</v>
      </c>
      <c r="F5" s="496"/>
    </row>
    <row r="6" ht="15.5" spans="1:6">
      <c r="A6" s="496"/>
      <c r="B6" s="496"/>
      <c r="C6" s="496"/>
      <c r="D6" s="496"/>
      <c r="E6" s="497" t="s">
        <v>5</v>
      </c>
      <c r="F6" s="496"/>
    </row>
    <row r="7" ht="15.5" spans="1:6">
      <c r="A7" s="496"/>
      <c r="B7" s="496"/>
      <c r="C7" s="496"/>
      <c r="D7" s="496"/>
      <c r="E7" s="497" t="s">
        <v>6</v>
      </c>
      <c r="F7" s="496"/>
    </row>
    <row r="8" ht="15.5" spans="1:6">
      <c r="A8" s="499"/>
      <c r="B8" s="496"/>
      <c r="C8" s="496"/>
      <c r="D8" s="496"/>
      <c r="E8" s="496"/>
      <c r="F8" s="496"/>
    </row>
    <row r="9" ht="15.5" spans="1:6">
      <c r="A9" s="499" t="s">
        <v>7</v>
      </c>
      <c r="B9" s="499"/>
      <c r="C9" s="499"/>
      <c r="D9" s="499"/>
      <c r="E9" s="499"/>
      <c r="F9" s="499"/>
    </row>
    <row r="10" ht="15.5" spans="1:6">
      <c r="A10" s="499" t="s">
        <v>8</v>
      </c>
      <c r="B10" s="499"/>
      <c r="C10" s="499"/>
      <c r="D10" s="499"/>
      <c r="E10" s="499"/>
      <c r="F10" s="499"/>
    </row>
    <row r="11" ht="15.5" spans="1:6">
      <c r="A11" s="499" t="s">
        <v>9</v>
      </c>
      <c r="B11" s="499"/>
      <c r="C11" s="499"/>
      <c r="D11" s="499"/>
      <c r="E11" s="499"/>
      <c r="F11" s="499"/>
    </row>
    <row r="12" ht="15.5" spans="1:6">
      <c r="A12" s="499" t="s">
        <v>6</v>
      </c>
      <c r="B12" s="499"/>
      <c r="C12" s="499"/>
      <c r="D12" s="499"/>
      <c r="E12" s="499"/>
      <c r="F12" s="499"/>
    </row>
    <row r="13" spans="1:1">
      <c r="A13" s="500"/>
    </row>
    <row r="14" ht="15.5" spans="1:6">
      <c r="A14" s="499" t="s">
        <v>10</v>
      </c>
      <c r="B14" s="499"/>
      <c r="C14" s="499"/>
      <c r="D14" s="499"/>
      <c r="E14" s="499"/>
      <c r="F14" s="499"/>
    </row>
    <row r="15" spans="1:6">
      <c r="A15" s="501"/>
      <c r="B15" s="502"/>
      <c r="C15" s="502"/>
      <c r="D15" s="502"/>
      <c r="E15" s="502"/>
      <c r="F15" s="501" t="s">
        <v>11</v>
      </c>
    </row>
    <row r="16" spans="1:6">
      <c r="A16" s="502" t="s">
        <v>12</v>
      </c>
      <c r="B16" s="502" t="s">
        <v>13</v>
      </c>
      <c r="C16" s="502"/>
      <c r="D16" s="502"/>
      <c r="E16" s="502"/>
      <c r="F16" s="501"/>
    </row>
    <row r="17" spans="1:6">
      <c r="A17" s="502" t="s">
        <v>14</v>
      </c>
      <c r="B17" s="502" t="s">
        <v>15</v>
      </c>
      <c r="C17" s="502"/>
      <c r="D17" s="502"/>
      <c r="E17" s="502"/>
      <c r="F17" s="501"/>
    </row>
    <row r="18" spans="1:6">
      <c r="A18" s="501"/>
      <c r="B18" s="501" t="s">
        <v>16</v>
      </c>
      <c r="C18" s="502" t="s">
        <v>17</v>
      </c>
      <c r="D18" s="502"/>
      <c r="E18" s="502"/>
      <c r="F18" s="501"/>
    </row>
    <row r="19" spans="1:6">
      <c r="A19" s="501"/>
      <c r="B19" s="501" t="s">
        <v>18</v>
      </c>
      <c r="C19" s="502" t="s">
        <v>19</v>
      </c>
      <c r="D19" s="502"/>
      <c r="E19" s="502"/>
      <c r="F19" s="501"/>
    </row>
    <row r="20" spans="1:6">
      <c r="A20" s="501"/>
      <c r="B20" s="501" t="s">
        <v>20</v>
      </c>
      <c r="C20" s="502" t="s">
        <v>21</v>
      </c>
      <c r="D20" s="502"/>
      <c r="E20" s="502"/>
      <c r="F20" s="501"/>
    </row>
    <row r="21" spans="1:6">
      <c r="A21" s="501"/>
      <c r="B21" s="501"/>
      <c r="C21" s="501" t="s">
        <v>22</v>
      </c>
      <c r="D21" s="26" t="s">
        <v>23</v>
      </c>
      <c r="E21" s="26"/>
      <c r="F21" s="501"/>
    </row>
    <row r="22" spans="1:6">
      <c r="A22" s="501"/>
      <c r="B22" s="501"/>
      <c r="C22" s="501" t="s">
        <v>24</v>
      </c>
      <c r="D22" s="26" t="s">
        <v>25</v>
      </c>
      <c r="E22" s="26"/>
      <c r="F22" s="501"/>
    </row>
    <row r="23" spans="1:6">
      <c r="A23" s="501"/>
      <c r="B23" s="501"/>
      <c r="C23" s="501" t="s">
        <v>26</v>
      </c>
      <c r="D23" s="502" t="s">
        <v>27</v>
      </c>
      <c r="E23" s="502"/>
      <c r="F23" s="501"/>
    </row>
    <row r="24" spans="1:6">
      <c r="A24" s="501"/>
      <c r="B24" s="501"/>
      <c r="C24" s="501" t="s">
        <v>28</v>
      </c>
      <c r="D24" s="26" t="s">
        <v>29</v>
      </c>
      <c r="E24" s="26"/>
      <c r="F24" s="501"/>
    </row>
    <row r="25" spans="1:6">
      <c r="A25" s="501"/>
      <c r="B25" s="501"/>
      <c r="C25" s="501" t="s">
        <v>30</v>
      </c>
      <c r="D25" s="502" t="s">
        <v>31</v>
      </c>
      <c r="E25" s="502"/>
      <c r="F25" s="501"/>
    </row>
    <row r="26" spans="1:6">
      <c r="A26" s="501"/>
      <c r="B26" s="501"/>
      <c r="C26" s="501" t="s">
        <v>32</v>
      </c>
      <c r="D26" s="502" t="s">
        <v>33</v>
      </c>
      <c r="E26" s="502"/>
      <c r="F26" s="501"/>
    </row>
    <row r="27" spans="1:6">
      <c r="A27" s="501"/>
      <c r="B27" s="501"/>
      <c r="C27" s="501" t="s">
        <v>34</v>
      </c>
      <c r="D27" s="502" t="s">
        <v>35</v>
      </c>
      <c r="E27" s="502"/>
      <c r="F27" s="501"/>
    </row>
    <row r="28" spans="1:6">
      <c r="A28" s="501"/>
      <c r="B28" s="501"/>
      <c r="C28" s="501" t="s">
        <v>36</v>
      </c>
      <c r="D28" s="502" t="s">
        <v>37</v>
      </c>
      <c r="E28" s="502"/>
      <c r="F28" s="501"/>
    </row>
    <row r="29" ht="26" spans="1:6">
      <c r="A29" s="501"/>
      <c r="B29" s="501"/>
      <c r="C29" s="501" t="s">
        <v>38</v>
      </c>
      <c r="D29" s="502" t="s">
        <v>39</v>
      </c>
      <c r="E29" s="502"/>
      <c r="F29" s="501"/>
    </row>
    <row r="30" ht="26" spans="1:6">
      <c r="A30" s="501"/>
      <c r="B30" s="501"/>
      <c r="C30" s="501" t="s">
        <v>40</v>
      </c>
      <c r="D30" s="502" t="s">
        <v>41</v>
      </c>
      <c r="E30" s="502"/>
      <c r="F30" s="501"/>
    </row>
    <row r="31" ht="26" spans="1:6">
      <c r="A31" s="501"/>
      <c r="B31" s="501"/>
      <c r="C31" s="501" t="s">
        <v>42</v>
      </c>
      <c r="D31" s="502" t="s">
        <v>43</v>
      </c>
      <c r="E31" s="502"/>
      <c r="F31" s="501"/>
    </row>
    <row r="32" ht="26" spans="1:6">
      <c r="A32" s="501"/>
      <c r="B32" s="501"/>
      <c r="C32" s="501" t="s">
        <v>44</v>
      </c>
      <c r="D32" s="502" t="s">
        <v>45</v>
      </c>
      <c r="E32" s="502"/>
      <c r="F32" s="501"/>
    </row>
    <row r="33" spans="1:6">
      <c r="A33" s="501"/>
      <c r="B33" s="501"/>
      <c r="C33" s="501" t="s">
        <v>46</v>
      </c>
      <c r="D33" s="26" t="s">
        <v>47</v>
      </c>
      <c r="E33" s="26"/>
      <c r="F33" s="501"/>
    </row>
    <row r="34" spans="1:6">
      <c r="A34" s="501"/>
      <c r="B34" s="501"/>
      <c r="C34" s="501" t="s">
        <v>48</v>
      </c>
      <c r="D34" s="502" t="s">
        <v>49</v>
      </c>
      <c r="E34" s="502"/>
      <c r="F34" s="501"/>
    </row>
    <row r="35" ht="26" spans="1:6">
      <c r="A35" s="501"/>
      <c r="B35" s="501"/>
      <c r="C35" s="501" t="s">
        <v>50</v>
      </c>
      <c r="D35" s="502" t="s">
        <v>51</v>
      </c>
      <c r="E35" s="502"/>
      <c r="F35" s="501"/>
    </row>
    <row r="36" spans="1:6">
      <c r="A36" s="501"/>
      <c r="B36" s="501"/>
      <c r="C36" s="501" t="s">
        <v>52</v>
      </c>
      <c r="D36" s="502" t="s">
        <v>53</v>
      </c>
      <c r="E36" s="502"/>
      <c r="F36" s="501"/>
    </row>
    <row r="37" spans="1:6">
      <c r="A37" s="501"/>
      <c r="B37" s="501"/>
      <c r="C37" s="501" t="s">
        <v>54</v>
      </c>
      <c r="D37" s="502" t="s">
        <v>55</v>
      </c>
      <c r="E37" s="502"/>
      <c r="F37" s="501"/>
    </row>
    <row r="38" spans="1:6">
      <c r="A38" s="501"/>
      <c r="B38" s="501"/>
      <c r="C38" s="501" t="s">
        <v>56</v>
      </c>
      <c r="D38" s="502" t="s">
        <v>57</v>
      </c>
      <c r="E38" s="502"/>
      <c r="F38" s="501"/>
    </row>
    <row r="39" spans="1:6">
      <c r="A39" s="501"/>
      <c r="B39" s="501" t="s">
        <v>58</v>
      </c>
      <c r="C39" s="503" t="s">
        <v>59</v>
      </c>
      <c r="F39" s="501"/>
    </row>
    <row r="40" spans="1:6">
      <c r="A40" s="501"/>
      <c r="B40" s="501"/>
      <c r="C40" s="501" t="s">
        <v>22</v>
      </c>
      <c r="D40" s="26" t="s">
        <v>60</v>
      </c>
      <c r="E40" s="26"/>
      <c r="F40" s="501"/>
    </row>
    <row r="41" spans="1:6">
      <c r="A41" s="501"/>
      <c r="B41" s="501"/>
      <c r="C41" s="501" t="s">
        <v>24</v>
      </c>
      <c r="D41" s="26" t="s">
        <v>61</v>
      </c>
      <c r="E41" s="26"/>
      <c r="F41" s="501"/>
    </row>
    <row r="42" ht="29.25" customHeight="1" spans="1:5">
      <c r="A42" s="501"/>
      <c r="B42" s="501"/>
      <c r="C42" s="504" t="s">
        <v>26</v>
      </c>
      <c r="D42" s="502" t="s">
        <v>62</v>
      </c>
      <c r="E42" s="502"/>
    </row>
    <row r="43" spans="1:5">
      <c r="A43" s="501"/>
      <c r="B43" s="501"/>
      <c r="C43" s="501"/>
      <c r="D43" s="502"/>
      <c r="E43" s="502"/>
    </row>
    <row r="44" spans="1:5">
      <c r="A44" s="501"/>
      <c r="B44" s="501"/>
      <c r="C44" s="501"/>
      <c r="D44" s="502"/>
      <c r="E44" s="502"/>
    </row>
    <row r="45" spans="1:1">
      <c r="A45" s="505"/>
    </row>
  </sheetData>
  <mergeCells count="22">
    <mergeCell ref="A9:F9"/>
    <mergeCell ref="A10:F10"/>
    <mergeCell ref="A11:F11"/>
    <mergeCell ref="A12:F12"/>
    <mergeCell ref="A14:F14"/>
    <mergeCell ref="B15:D15"/>
    <mergeCell ref="B16:D16"/>
    <mergeCell ref="B17:D17"/>
    <mergeCell ref="C18:D18"/>
    <mergeCell ref="C19:D19"/>
    <mergeCell ref="C20:D20"/>
    <mergeCell ref="D21:E21"/>
    <mergeCell ref="D22:E22"/>
    <mergeCell ref="D24:E24"/>
    <mergeCell ref="D33:E33"/>
    <mergeCell ref="D40:E40"/>
    <mergeCell ref="D41:E41"/>
    <mergeCell ref="D42:E42"/>
    <mergeCell ref="A43:A44"/>
    <mergeCell ref="B43:B44"/>
    <mergeCell ref="C43:C44"/>
    <mergeCell ref="D43:D44"/>
  </mergeCells>
  <pageMargins left="0.78740157480315" right="0.590551181102362" top="0.78740157480315" bottom="1.77165354330709" header="0.31496062992126" footer="1.49606299212598"/>
  <pageSetup paperSize="5" scale="80" orientation="portrait" horizontalDpi="120" verticalDpi="72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zoomScale="115" zoomScaleNormal="115" workbookViewId="0">
      <selection activeCell="B6" sqref="B6"/>
    </sheetView>
  </sheetViews>
  <sheetFormatPr defaultColWidth="9" defaultRowHeight="14.5"/>
  <cols>
    <col min="1" max="1" width="4.81818181818182" customWidth="1"/>
    <col min="2" max="2" width="38.2727272727273" customWidth="1"/>
    <col min="3" max="3" width="6.18181818181818" customWidth="1"/>
    <col min="4" max="4" width="16.1818181818182" style="473" customWidth="1"/>
    <col min="5" max="5" width="2.45454545454545" style="473" customWidth="1"/>
    <col min="6" max="6" width="18.1818181818182" style="473" customWidth="1"/>
    <col min="7" max="7" width="2" style="473" customWidth="1"/>
    <col min="8" max="8" width="16.4545454545455" style="473" customWidth="1"/>
    <col min="9" max="9" width="3" customWidth="1"/>
    <col min="11" max="11" width="36.4545454545455" customWidth="1"/>
    <col min="12" max="12" width="17.7272727272727" style="474" customWidth="1"/>
    <col min="13" max="13" width="15" customWidth="1"/>
    <col min="14" max="14" width="14" customWidth="1"/>
  </cols>
  <sheetData>
    <row r="1" spans="1:8">
      <c r="A1" s="475" t="s">
        <v>63</v>
      </c>
      <c r="B1" s="475"/>
      <c r="C1" s="475"/>
      <c r="D1" s="475"/>
      <c r="E1" s="475"/>
      <c r="F1" s="475"/>
      <c r="G1" s="475"/>
      <c r="H1" s="475"/>
    </row>
    <row r="2" spans="1:11">
      <c r="A2" s="475" t="s">
        <v>64</v>
      </c>
      <c r="B2" s="475"/>
      <c r="C2" s="475"/>
      <c r="D2" s="475"/>
      <c r="E2" s="475"/>
      <c r="F2" s="475"/>
      <c r="G2" s="475"/>
      <c r="H2" s="475"/>
      <c r="K2" t="s">
        <v>65</v>
      </c>
    </row>
    <row r="3" spans="1:8">
      <c r="A3" s="475" t="s">
        <v>66</v>
      </c>
      <c r="B3" s="475"/>
      <c r="C3" s="475"/>
      <c r="D3" s="475"/>
      <c r="E3" s="475"/>
      <c r="F3" s="475"/>
      <c r="G3" s="475"/>
      <c r="H3" s="475"/>
    </row>
    <row r="4" spans="1:8">
      <c r="A4" s="475" t="s">
        <v>9</v>
      </c>
      <c r="B4" s="475"/>
      <c r="C4" s="475"/>
      <c r="D4" s="475"/>
      <c r="E4" s="475"/>
      <c r="F4" s="475"/>
      <c r="G4" s="475"/>
      <c r="H4" s="475"/>
    </row>
    <row r="5" spans="1:8">
      <c r="A5" s="475" t="s">
        <v>67</v>
      </c>
      <c r="B5" s="475"/>
      <c r="C5" s="475"/>
      <c r="D5" s="475"/>
      <c r="E5" s="475"/>
      <c r="F5" s="475"/>
      <c r="G5" s="475"/>
      <c r="H5" s="475"/>
    </row>
    <row r="6" spans="1:8">
      <c r="A6" s="476"/>
      <c r="B6" s="476"/>
      <c r="C6" s="476"/>
      <c r="D6" s="477"/>
      <c r="E6" s="477"/>
      <c r="F6" s="477"/>
      <c r="G6" s="477"/>
      <c r="H6" s="477"/>
    </row>
    <row r="7" spans="1:8">
      <c r="A7" s="476"/>
      <c r="B7" s="476"/>
      <c r="C7" s="476"/>
      <c r="D7" s="477"/>
      <c r="E7" s="477"/>
      <c r="F7" s="477"/>
      <c r="G7" s="477"/>
      <c r="H7" s="477"/>
    </row>
    <row r="8" ht="29" spans="1:8">
      <c r="A8" s="478"/>
      <c r="B8" s="479"/>
      <c r="C8" s="479" t="s">
        <v>68</v>
      </c>
      <c r="D8" s="480" t="s">
        <v>69</v>
      </c>
      <c r="E8" s="480"/>
      <c r="F8" s="480" t="s">
        <v>70</v>
      </c>
      <c r="G8" s="480"/>
      <c r="H8" s="480" t="s">
        <v>71</v>
      </c>
    </row>
    <row r="9" spans="1:1">
      <c r="A9" s="481" t="s">
        <v>72</v>
      </c>
    </row>
    <row r="10" spans="1:8">
      <c r="A10" s="482" t="s">
        <v>73</v>
      </c>
      <c r="D10" s="483">
        <f>D11+D12+D13</f>
        <v>9000000</v>
      </c>
      <c r="E10" s="473">
        <f>SUM(E11:E12)</f>
        <v>0</v>
      </c>
      <c r="F10" s="484">
        <f>SUM(F11:F13)</f>
        <v>7700000</v>
      </c>
      <c r="G10" s="473">
        <f>SUM(G11:G12)</f>
        <v>0</v>
      </c>
      <c r="H10" s="473">
        <f>SUM(H11:H13)</f>
        <v>1300000</v>
      </c>
    </row>
    <row r="11" spans="1:11">
      <c r="A11" s="482"/>
      <c r="B11" t="s">
        <v>74</v>
      </c>
      <c r="D11" s="473">
        <v>5000000</v>
      </c>
      <c r="F11" s="473">
        <v>2700000</v>
      </c>
      <c r="H11" s="473">
        <f t="shared" ref="H11:H13" si="0">D11-F11</f>
        <v>2300000</v>
      </c>
      <c r="K11" s="473">
        <f>300000+300000+1800000+1500000</f>
        <v>3900000</v>
      </c>
    </row>
    <row r="12" spans="1:11">
      <c r="A12" s="482"/>
      <c r="B12" t="s">
        <v>75</v>
      </c>
      <c r="D12" s="473">
        <v>4000000</v>
      </c>
      <c r="F12" s="473">
        <v>5000000</v>
      </c>
      <c r="H12" s="473">
        <f t="shared" si="0"/>
        <v>-1000000</v>
      </c>
      <c r="K12" s="473">
        <f>500000+450000+1350000</f>
        <v>2300000</v>
      </c>
    </row>
    <row r="13" spans="1:8">
      <c r="A13" s="482"/>
      <c r="D13" s="484"/>
      <c r="F13" s="484"/>
      <c r="H13" s="473">
        <f t="shared" si="0"/>
        <v>0</v>
      </c>
    </row>
    <row r="14" spans="1:8">
      <c r="A14" s="482" t="s">
        <v>76</v>
      </c>
      <c r="D14" s="483">
        <f>SUM(D15:D19)</f>
        <v>2432011100</v>
      </c>
      <c r="E14" s="473">
        <f>SUM(E15:E19)</f>
        <v>0</v>
      </c>
      <c r="F14" s="484">
        <f>SUM(F15:F19)</f>
        <v>1855834099</v>
      </c>
      <c r="G14" s="473">
        <f>SUM(G15:G19)</f>
        <v>841150000</v>
      </c>
      <c r="H14" s="473">
        <f>SUM(H15:H19)</f>
        <v>576177001</v>
      </c>
    </row>
    <row r="15" spans="1:8">
      <c r="A15" s="482"/>
      <c r="B15" t="s">
        <v>27</v>
      </c>
      <c r="D15" s="485">
        <v>868319000</v>
      </c>
      <c r="F15" s="485">
        <v>868319000</v>
      </c>
      <c r="G15" s="473">
        <v>841150000</v>
      </c>
      <c r="H15" s="473">
        <f t="shared" ref="H15:H24" si="1">D15-F15</f>
        <v>0</v>
      </c>
    </row>
    <row r="16" spans="1:8">
      <c r="A16" s="482"/>
      <c r="B16" t="s">
        <v>77</v>
      </c>
      <c r="D16" s="485">
        <v>65475500</v>
      </c>
      <c r="F16" s="485">
        <v>73248800</v>
      </c>
      <c r="H16" s="473">
        <f t="shared" si="1"/>
        <v>-7773300</v>
      </c>
    </row>
    <row r="17" spans="1:8">
      <c r="A17" s="482"/>
      <c r="B17" t="s">
        <v>31</v>
      </c>
      <c r="D17" s="485">
        <v>798216600</v>
      </c>
      <c r="F17" s="485">
        <v>798220300</v>
      </c>
      <c r="H17" s="473">
        <f t="shared" si="1"/>
        <v>-3700</v>
      </c>
    </row>
    <row r="18" spans="1:8">
      <c r="A18" s="482"/>
      <c r="B18" t="s">
        <v>78</v>
      </c>
      <c r="D18" s="485">
        <v>700000000</v>
      </c>
      <c r="F18" s="485">
        <v>116045999</v>
      </c>
      <c r="H18" s="473">
        <f t="shared" si="1"/>
        <v>583954001</v>
      </c>
    </row>
    <row r="19" spans="1:6">
      <c r="A19" s="482"/>
      <c r="D19" s="485"/>
      <c r="F19" s="485"/>
    </row>
    <row r="20" spans="1:11">
      <c r="A20" s="482" t="s">
        <v>79</v>
      </c>
      <c r="D20" s="483">
        <f t="shared" ref="D20:F20" si="2">SUM(D21:D24)</f>
        <v>6300000</v>
      </c>
      <c r="F20" s="483">
        <f t="shared" si="2"/>
        <v>21754512</v>
      </c>
      <c r="H20" s="483">
        <f>SUM(H21:H24)</f>
        <v>-15454512</v>
      </c>
      <c r="K20" s="473">
        <f>D25-F25</f>
        <v>562022489</v>
      </c>
    </row>
    <row r="21" spans="1:8">
      <c r="A21" s="482"/>
      <c r="B21" t="s">
        <v>80</v>
      </c>
      <c r="D21" s="473">
        <v>4800000</v>
      </c>
      <c r="F21" s="485">
        <v>1541512</v>
      </c>
      <c r="H21" s="473">
        <f t="shared" si="1"/>
        <v>3258488</v>
      </c>
    </row>
    <row r="22" spans="1:8">
      <c r="A22" s="482"/>
      <c r="B22" s="486" t="s">
        <v>81</v>
      </c>
      <c r="D22" s="473">
        <v>1500000</v>
      </c>
      <c r="F22" s="484"/>
      <c r="H22" s="473">
        <f t="shared" si="1"/>
        <v>1500000</v>
      </c>
    </row>
    <row r="23" spans="1:8">
      <c r="A23" s="482"/>
      <c r="B23" s="486" t="s">
        <v>82</v>
      </c>
      <c r="F23" s="484">
        <f>[7]Sheet9!$D$7</f>
        <v>20213000</v>
      </c>
      <c r="H23" s="473">
        <f t="shared" si="1"/>
        <v>-20213000</v>
      </c>
    </row>
    <row r="24" spans="1:8">
      <c r="A24" s="482"/>
      <c r="B24" s="486"/>
      <c r="F24" s="487"/>
      <c r="H24" s="473">
        <f t="shared" si="1"/>
        <v>0</v>
      </c>
    </row>
    <row r="25" spans="1:11">
      <c r="A25" s="482"/>
      <c r="B25" t="s">
        <v>83</v>
      </c>
      <c r="D25" s="488">
        <f>D10+D14+D20</f>
        <v>2447311100</v>
      </c>
      <c r="F25" s="489">
        <f>F10+F14+F20</f>
        <v>1885288611</v>
      </c>
      <c r="H25" s="490">
        <f>H10+H14+H20</f>
        <v>562022489</v>
      </c>
      <c r="K25">
        <f>87999505-7633791</f>
        <v>80365714</v>
      </c>
    </row>
    <row r="26" spans="1:11">
      <c r="A26" s="482"/>
      <c r="D26" s="491"/>
      <c r="K26">
        <f>K40</f>
        <v>78853105</v>
      </c>
    </row>
    <row r="27" spans="1:11">
      <c r="A27" s="482" t="s">
        <v>84</v>
      </c>
      <c r="K27">
        <f>K25-K26</f>
        <v>1512609</v>
      </c>
    </row>
    <row r="28" spans="1:8">
      <c r="A28" s="482"/>
      <c r="B28" s="492" t="s">
        <v>85</v>
      </c>
      <c r="D28" s="485">
        <v>930420161</v>
      </c>
      <c r="F28" s="485">
        <v>871984452</v>
      </c>
      <c r="H28" s="473">
        <f>D28-F28</f>
        <v>58435709</v>
      </c>
    </row>
    <row r="29" spans="1:8">
      <c r="A29" s="482"/>
      <c r="B29" t="s">
        <v>86</v>
      </c>
      <c r="D29" s="485">
        <v>1345055832</v>
      </c>
      <c r="F29" s="485">
        <v>720288500</v>
      </c>
      <c r="H29" s="473">
        <f>D29-F29</f>
        <v>624767332</v>
      </c>
    </row>
    <row r="30" spans="1:8">
      <c r="A30" s="482"/>
      <c r="B30" t="s">
        <v>87</v>
      </c>
      <c r="D30" s="485">
        <v>127807099</v>
      </c>
      <c r="F30" s="485">
        <v>127807099</v>
      </c>
      <c r="H30" s="473">
        <f>D30-F30</f>
        <v>0</v>
      </c>
    </row>
    <row r="31" spans="1:8">
      <c r="A31" s="482"/>
      <c r="B31" t="s">
        <v>88</v>
      </c>
      <c r="D31" s="485">
        <v>39700000</v>
      </c>
      <c r="F31" s="485">
        <v>39700000</v>
      </c>
      <c r="H31" s="473">
        <f>D31-F31</f>
        <v>0</v>
      </c>
    </row>
    <row r="32" ht="29" spans="1:8">
      <c r="A32" s="482"/>
      <c r="B32" s="492" t="s">
        <v>89</v>
      </c>
      <c r="D32" s="485">
        <v>41800000</v>
      </c>
      <c r="F32" s="485">
        <v>32400000</v>
      </c>
      <c r="H32" s="473">
        <f>D32-F32</f>
        <v>9400000</v>
      </c>
    </row>
    <row r="33" spans="1:11">
      <c r="A33" s="482"/>
      <c r="B33" t="s">
        <v>90</v>
      </c>
      <c r="D33" s="490">
        <f>SUM(D28:D32)</f>
        <v>2484783092</v>
      </c>
      <c r="F33" s="490">
        <f>SUM(F28:F32)</f>
        <v>1792180051</v>
      </c>
      <c r="G33" s="473">
        <f>SUM(G28:G32)</f>
        <v>0</v>
      </c>
      <c r="H33" s="490">
        <f>SUM(H28:H32)</f>
        <v>692603041</v>
      </c>
      <c r="K33" s="473">
        <f>D34-F34</f>
        <v>-130580552</v>
      </c>
    </row>
    <row r="34" spans="1:11">
      <c r="A34" s="482"/>
      <c r="B34" t="s">
        <v>91</v>
      </c>
      <c r="D34" s="490">
        <f>D25-D33</f>
        <v>-37471992</v>
      </c>
      <c r="E34" s="473">
        <f>E25-E33</f>
        <v>0</v>
      </c>
      <c r="F34" s="493">
        <f>F25-F33</f>
        <v>93108560</v>
      </c>
      <c r="G34" s="473">
        <f>G25-G33</f>
        <v>0</v>
      </c>
      <c r="H34" s="490">
        <f>H25-H33</f>
        <v>-130580552</v>
      </c>
      <c r="K34" s="473">
        <f>D34-F34</f>
        <v>-130580552</v>
      </c>
    </row>
    <row r="35" spans="1:1">
      <c r="A35" s="482"/>
    </row>
    <row r="36" spans="1:1">
      <c r="A36" s="482" t="s">
        <v>92</v>
      </c>
    </row>
    <row r="37" ht="15" spans="2:8">
      <c r="B37" s="482" t="s">
        <v>93</v>
      </c>
      <c r="D37" s="485">
        <v>37471992</v>
      </c>
      <c r="E37" s="494"/>
      <c r="F37" s="485">
        <v>37471992</v>
      </c>
      <c r="G37" s="494"/>
      <c r="H37" s="494">
        <f>D37-F37</f>
        <v>0</v>
      </c>
    </row>
    <row r="38" spans="1:8">
      <c r="A38" s="482"/>
      <c r="B38" t="s">
        <v>94</v>
      </c>
      <c r="D38" s="485"/>
      <c r="F38" s="485"/>
      <c r="H38" s="473">
        <f t="shared" ref="H38" si="3">D38-F38</f>
        <v>0</v>
      </c>
    </row>
    <row r="39" spans="1:11">
      <c r="A39" s="482" t="s">
        <v>95</v>
      </c>
      <c r="D39" s="473">
        <f>D37-D38</f>
        <v>37471992</v>
      </c>
      <c r="F39" s="473">
        <f>F37-F38</f>
        <v>37471992</v>
      </c>
      <c r="H39" s="473">
        <f t="shared" ref="H39" si="4">SUM(H37:H38)</f>
        <v>0</v>
      </c>
      <c r="K39" s="473">
        <f>D40-F40</f>
        <v>-130580552</v>
      </c>
    </row>
    <row r="40" spans="1:11">
      <c r="A40" s="482" t="s">
        <v>96</v>
      </c>
      <c r="D40" s="473">
        <f>D25-D33+D39</f>
        <v>0</v>
      </c>
      <c r="F40" s="473">
        <f>F25-F33+F39</f>
        <v>130580552</v>
      </c>
      <c r="H40" s="473">
        <f>D40-F40</f>
        <v>-130580552</v>
      </c>
      <c r="K40">
        <f>87999505-9146400</f>
        <v>78853105</v>
      </c>
    </row>
  </sheetData>
  <mergeCells count="5">
    <mergeCell ref="A1:H1"/>
    <mergeCell ref="A2:H2"/>
    <mergeCell ref="A3:H3"/>
    <mergeCell ref="A4:H4"/>
    <mergeCell ref="A5:H5"/>
  </mergeCells>
  <pageMargins left="0.78740157480315" right="0.590551181102362" top="0.748031496062992" bottom="1.77165354330709" header="0.31496062992126" footer="1.49606299212598"/>
  <pageSetup paperSize="5" scale="84" orientation="portrait" horizontalDpi="120" verticalDpi="72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7"/>
  <sheetViews>
    <sheetView zoomScale="88" zoomScaleNormal="88" topLeftCell="A336" workbookViewId="0">
      <selection activeCell="I341" sqref="I341"/>
    </sheetView>
  </sheetViews>
  <sheetFormatPr defaultColWidth="9.18181818181818" defaultRowHeight="13"/>
  <cols>
    <col min="1" max="1" width="9.18181818181818" style="361"/>
    <col min="2" max="2" width="50.2727272727273" style="361" customWidth="1"/>
    <col min="3" max="3" width="19.4545454545455" style="361" customWidth="1"/>
    <col min="4" max="4" width="1.54545454545455" style="361" customWidth="1"/>
    <col min="5" max="5" width="18.7272727272727" style="363" customWidth="1"/>
    <col min="6" max="6" width="1.72727272727273" style="361" customWidth="1"/>
    <col min="7" max="7" width="18.8181818181818" style="361" customWidth="1"/>
    <col min="8" max="8" width="9.18181818181818" style="361"/>
    <col min="9" max="9" width="41.4545454545455" style="364" customWidth="1"/>
    <col min="10" max="10" width="25.2727272727273" style="364" customWidth="1"/>
    <col min="11" max="11" width="15.8" style="361" customWidth="1"/>
    <col min="12" max="15" width="9.18181818181818" style="361"/>
    <col min="16" max="16" width="13.8181818181818" style="361"/>
    <col min="17" max="16384" width="9.18181818181818" style="361"/>
  </cols>
  <sheetData>
    <row r="1" spans="1:7">
      <c r="A1" s="365" t="s">
        <v>97</v>
      </c>
      <c r="B1" s="365"/>
      <c r="C1" s="365"/>
      <c r="D1" s="365"/>
      <c r="E1" s="365"/>
      <c r="F1" s="365"/>
      <c r="G1" s="365"/>
    </row>
    <row r="2" spans="1:7">
      <c r="A2" s="365" t="s">
        <v>98</v>
      </c>
      <c r="B2" s="365"/>
      <c r="C2" s="365"/>
      <c r="D2" s="365"/>
      <c r="E2" s="365"/>
      <c r="F2" s="365"/>
      <c r="G2" s="365"/>
    </row>
    <row r="3" spans="1:7">
      <c r="A3" s="365" t="s">
        <v>99</v>
      </c>
      <c r="B3" s="365"/>
      <c r="C3" s="365"/>
      <c r="D3" s="365"/>
      <c r="E3" s="365"/>
      <c r="F3" s="365"/>
      <c r="G3" s="365"/>
    </row>
    <row r="4" spans="1:7">
      <c r="A4" s="365" t="s">
        <v>100</v>
      </c>
      <c r="B4" s="365"/>
      <c r="C4" s="365"/>
      <c r="D4" s="365"/>
      <c r="E4" s="365"/>
      <c r="F4" s="365"/>
      <c r="G4" s="365"/>
    </row>
    <row r="5" spans="1:7">
      <c r="A5" s="366"/>
      <c r="B5" s="366"/>
      <c r="C5" s="366"/>
      <c r="D5" s="366"/>
      <c r="E5" s="367"/>
      <c r="F5" s="366"/>
      <c r="G5" s="366"/>
    </row>
    <row r="7" s="5" customFormat="1" spans="1:10">
      <c r="A7" s="5" t="s">
        <v>101</v>
      </c>
      <c r="E7" s="368"/>
      <c r="I7" s="397"/>
      <c r="J7" s="397"/>
    </row>
    <row r="8" spans="1:1">
      <c r="A8" s="369" t="s">
        <v>102</v>
      </c>
    </row>
    <row r="9" s="359" customFormat="1" spans="1:10">
      <c r="A9" s="369" t="s">
        <v>103</v>
      </c>
      <c r="E9" s="370"/>
      <c r="I9" s="398"/>
      <c r="J9" s="398"/>
    </row>
    <row r="10" spans="1:1">
      <c r="A10" s="369" t="s">
        <v>104</v>
      </c>
    </row>
    <row r="11" spans="1:1">
      <c r="A11" s="371" t="s">
        <v>105</v>
      </c>
    </row>
    <row r="12" spans="1:1">
      <c r="A12" s="371" t="s">
        <v>106</v>
      </c>
    </row>
    <row r="13" spans="1:1">
      <c r="A13" s="371" t="s">
        <v>107</v>
      </c>
    </row>
    <row r="14" spans="1:1">
      <c r="A14" s="361" t="s">
        <v>108</v>
      </c>
    </row>
    <row r="15" spans="1:1">
      <c r="A15" s="361" t="s">
        <v>109</v>
      </c>
    </row>
    <row r="17" s="5" customFormat="1" spans="1:10">
      <c r="A17" s="5" t="s">
        <v>110</v>
      </c>
      <c r="E17" s="368"/>
      <c r="I17" s="397"/>
      <c r="J17" s="397"/>
    </row>
    <row r="18" spans="1:1">
      <c r="A18" s="371" t="s">
        <v>111</v>
      </c>
    </row>
    <row r="19" spans="1:1">
      <c r="A19" s="361" t="s">
        <v>112</v>
      </c>
    </row>
    <row r="20" spans="1:1">
      <c r="A20" s="361" t="s">
        <v>113</v>
      </c>
    </row>
    <row r="21" spans="1:1">
      <c r="A21" s="361" t="s">
        <v>114</v>
      </c>
    </row>
    <row r="22" s="5" customFormat="1" spans="1:10">
      <c r="A22" s="5" t="s">
        <v>115</v>
      </c>
      <c r="E22" s="368"/>
      <c r="I22" s="397"/>
      <c r="J22" s="397"/>
    </row>
    <row r="23" s="5" customFormat="1" spans="1:10">
      <c r="A23" s="365" t="s">
        <v>22</v>
      </c>
      <c r="B23" s="5" t="s">
        <v>23</v>
      </c>
      <c r="E23" s="368"/>
      <c r="I23" s="397"/>
      <c r="J23" s="397"/>
    </row>
    <row r="24" spans="1:10">
      <c r="A24" s="372"/>
      <c r="B24" s="361" t="s">
        <v>116</v>
      </c>
      <c r="E24" s="370"/>
      <c r="F24" s="359"/>
      <c r="G24" s="373">
        <v>37471992</v>
      </c>
      <c r="J24" s="364">
        <f>'[1]des22'!$K$236</f>
        <v>78853104.7806625</v>
      </c>
    </row>
    <row r="25" spans="1:7">
      <c r="A25" s="372"/>
      <c r="B25" s="361" t="s">
        <v>117</v>
      </c>
      <c r="E25" s="370"/>
      <c r="F25" s="359"/>
      <c r="G25" s="359"/>
    </row>
    <row r="26" s="359" customFormat="1" spans="1:10">
      <c r="A26" s="374"/>
      <c r="B26" s="359" t="s">
        <v>118</v>
      </c>
      <c r="E26" s="375">
        <v>0</v>
      </c>
      <c r="I26" s="398">
        <f>[8]Sheet9!$K$50</f>
        <v>41964010</v>
      </c>
      <c r="J26" s="398"/>
    </row>
    <row r="27" s="359" customFormat="1" spans="1:10">
      <c r="A27" s="374"/>
      <c r="B27" s="359" t="s">
        <v>119</v>
      </c>
      <c r="E27" s="376">
        <f>42620660+792000</f>
        <v>43412660</v>
      </c>
      <c r="I27" s="398">
        <f>E27</f>
        <v>43412660</v>
      </c>
      <c r="J27" s="398"/>
    </row>
    <row r="28" s="359" customFormat="1" spans="1:10">
      <c r="A28" s="374"/>
      <c r="B28" s="359" t="s">
        <v>120</v>
      </c>
      <c r="E28" s="376">
        <f>42620660</f>
        <v>42620660</v>
      </c>
      <c r="I28" s="398"/>
      <c r="J28" s="398">
        <f>[2]des!$J$93</f>
        <v>77757491.9290552</v>
      </c>
    </row>
    <row r="29" s="359" customFormat="1" spans="1:10">
      <c r="A29" s="374"/>
      <c r="B29" s="359" t="s">
        <v>121</v>
      </c>
      <c r="E29" s="375">
        <v>792000</v>
      </c>
      <c r="G29" s="377"/>
      <c r="I29" s="398"/>
      <c r="J29" s="398"/>
    </row>
    <row r="30" s="359" customFormat="1" spans="1:10">
      <c r="A30" s="374"/>
      <c r="B30" s="359" t="s">
        <v>122</v>
      </c>
      <c r="E30" s="370"/>
      <c r="G30" s="373">
        <f>G24+G29</f>
        <v>37471992</v>
      </c>
      <c r="I30" s="398"/>
      <c r="J30" s="398"/>
    </row>
    <row r="31" s="360" customFormat="1" spans="1:10">
      <c r="A31" s="378"/>
      <c r="B31" s="362" t="s">
        <v>123</v>
      </c>
      <c r="E31" s="379"/>
      <c r="I31" s="399"/>
      <c r="J31" s="399"/>
    </row>
    <row r="32" s="5" customFormat="1" spans="1:10">
      <c r="A32" s="365"/>
      <c r="B32" s="362" t="s">
        <v>124</v>
      </c>
      <c r="E32" s="368"/>
      <c r="I32" s="397"/>
      <c r="J32" s="397"/>
    </row>
    <row r="33" s="5" customFormat="1" spans="1:10">
      <c r="A33" s="365"/>
      <c r="B33" s="362" t="s">
        <v>125</v>
      </c>
      <c r="E33" s="368"/>
      <c r="I33" s="397"/>
      <c r="J33" s="397"/>
    </row>
    <row r="34" s="5" customFormat="1" spans="1:10">
      <c r="A34" s="365"/>
      <c r="E34" s="368"/>
      <c r="I34" s="397"/>
      <c r="J34" s="397"/>
    </row>
    <row r="35" s="5" customFormat="1" spans="1:10">
      <c r="A35" s="365" t="s">
        <v>24</v>
      </c>
      <c r="B35" s="5" t="s">
        <v>25</v>
      </c>
      <c r="E35" s="368"/>
      <c r="I35" s="397">
        <f>5550000+3500000</f>
        <v>9050000</v>
      </c>
      <c r="J35" s="397"/>
    </row>
    <row r="36" spans="1:7">
      <c r="A36" s="372"/>
      <c r="B36" s="361" t="s">
        <v>126</v>
      </c>
      <c r="C36" s="380" t="s">
        <v>127</v>
      </c>
      <c r="D36" s="381"/>
      <c r="E36" s="382" t="s">
        <v>128</v>
      </c>
      <c r="F36" s="381"/>
      <c r="G36" s="380" t="s">
        <v>129</v>
      </c>
    </row>
    <row r="37" ht="14.5" spans="1:8">
      <c r="A37" s="372"/>
      <c r="B37" s="361" t="s">
        <v>130</v>
      </c>
      <c r="C37" s="383">
        <v>5000000</v>
      </c>
      <c r="D37" s="377"/>
      <c r="E37" s="384">
        <v>2700000</v>
      </c>
      <c r="F37" s="377"/>
      <c r="G37" s="377">
        <f t="shared" ref="G37:G39" si="0">C37-E37</f>
        <v>2300000</v>
      </c>
      <c r="H37" s="385"/>
    </row>
    <row r="38" ht="14.5" spans="1:7">
      <c r="A38" s="372"/>
      <c r="B38" s="361" t="s">
        <v>131</v>
      </c>
      <c r="C38" s="386">
        <v>4000000</v>
      </c>
      <c r="E38" s="383">
        <v>5000000</v>
      </c>
      <c r="G38" s="377">
        <f t="shared" si="0"/>
        <v>-1000000</v>
      </c>
    </row>
    <row r="39" spans="1:7">
      <c r="A39" s="372"/>
      <c r="C39" s="386"/>
      <c r="E39" s="386"/>
      <c r="G39" s="377">
        <f t="shared" si="0"/>
        <v>0</v>
      </c>
    </row>
    <row r="40" spans="1:7">
      <c r="A40" s="372"/>
      <c r="C40" s="386"/>
      <c r="E40" s="386"/>
      <c r="G40" s="386"/>
    </row>
    <row r="41" spans="1:9">
      <c r="A41" s="372"/>
      <c r="C41" s="386">
        <f>SUM(C37:C40)</f>
        <v>9000000</v>
      </c>
      <c r="E41" s="386">
        <f>SUM(E37:E39)</f>
        <v>7700000</v>
      </c>
      <c r="G41" s="386">
        <f>SUM(G37:G39)</f>
        <v>1300000</v>
      </c>
      <c r="I41" s="364">
        <f>C41-E41</f>
        <v>1300000</v>
      </c>
    </row>
    <row r="42" s="5" customFormat="1" spans="1:10">
      <c r="A42" s="365"/>
      <c r="B42" s="362" t="s">
        <v>123</v>
      </c>
      <c r="E42" s="368"/>
      <c r="I42" s="397"/>
      <c r="J42" s="397"/>
    </row>
    <row r="43" s="5" customFormat="1" spans="1:10">
      <c r="A43" s="365"/>
      <c r="B43" s="362" t="s">
        <v>132</v>
      </c>
      <c r="E43" s="368"/>
      <c r="I43" s="397"/>
      <c r="J43" s="397"/>
    </row>
    <row r="44" s="5" customFormat="1" spans="1:10">
      <c r="A44" s="365"/>
      <c r="B44" s="362" t="s">
        <v>133</v>
      </c>
      <c r="E44" s="368"/>
      <c r="I44" s="397"/>
      <c r="J44" s="397"/>
    </row>
    <row r="45" s="5" customFormat="1" spans="1:10">
      <c r="A45" s="365"/>
      <c r="E45" s="368"/>
      <c r="I45" s="397"/>
      <c r="J45" s="397"/>
    </row>
    <row r="46" s="5" customFormat="1" spans="1:10">
      <c r="A46" s="365" t="s">
        <v>26</v>
      </c>
      <c r="B46" s="5" t="s">
        <v>27</v>
      </c>
      <c r="E46" s="368"/>
      <c r="I46" s="397"/>
      <c r="J46" s="397"/>
    </row>
    <row r="47" ht="29.25" customHeight="1" spans="1:7">
      <c r="A47" s="372"/>
      <c r="B47" s="387" t="s">
        <v>134</v>
      </c>
      <c r="C47" s="387"/>
      <c r="D47" s="387"/>
      <c r="E47" s="387"/>
      <c r="F47" s="387"/>
      <c r="G47" s="387"/>
    </row>
    <row r="48" spans="1:7">
      <c r="A48" s="372"/>
      <c r="B48" s="372"/>
      <c r="C48" s="380" t="s">
        <v>127</v>
      </c>
      <c r="D48" s="381"/>
      <c r="E48" s="382" t="s">
        <v>128</v>
      </c>
      <c r="F48" s="381"/>
      <c r="G48" s="380" t="s">
        <v>129</v>
      </c>
    </row>
    <row r="49" spans="1:7">
      <c r="A49" s="372"/>
      <c r="B49" s="361" t="s">
        <v>135</v>
      </c>
      <c r="C49" s="388"/>
      <c r="E49" s="388"/>
      <c r="G49" s="377">
        <f>C49-E49</f>
        <v>0</v>
      </c>
    </row>
    <row r="50" ht="15.5" spans="1:7">
      <c r="A50" s="372"/>
      <c r="B50" s="361" t="s">
        <v>136</v>
      </c>
      <c r="C50" s="389">
        <v>467047600</v>
      </c>
      <c r="E50" s="389">
        <v>467047600</v>
      </c>
      <c r="G50" s="377">
        <f>C50-E50</f>
        <v>0</v>
      </c>
    </row>
    <row r="51" spans="1:7">
      <c r="A51" s="372"/>
      <c r="B51" s="361" t="s">
        <v>137</v>
      </c>
      <c r="C51" s="388"/>
      <c r="E51" s="388"/>
      <c r="G51" s="377"/>
    </row>
    <row r="52" ht="15.5" spans="1:7">
      <c r="A52" s="372"/>
      <c r="B52" s="361" t="s">
        <v>138</v>
      </c>
      <c r="C52" s="389">
        <v>401271400</v>
      </c>
      <c r="E52" s="389">
        <v>401271400</v>
      </c>
      <c r="G52" s="377">
        <f>C52-E52</f>
        <v>0</v>
      </c>
    </row>
    <row r="53" spans="1:7">
      <c r="A53" s="372"/>
      <c r="B53" s="361" t="s">
        <v>139</v>
      </c>
      <c r="C53" s="388"/>
      <c r="E53" s="388"/>
      <c r="G53" s="377">
        <f>C53-E53</f>
        <v>0</v>
      </c>
    </row>
    <row r="54" spans="1:7">
      <c r="A54" s="372"/>
      <c r="B54" s="361" t="s">
        <v>140</v>
      </c>
      <c r="C54" s="388"/>
      <c r="E54" s="388">
        <f>C54</f>
        <v>0</v>
      </c>
      <c r="G54" s="377">
        <f>C54-E54</f>
        <v>0</v>
      </c>
    </row>
    <row r="55" spans="1:7">
      <c r="A55" s="372"/>
      <c r="B55" s="361" t="s">
        <v>141</v>
      </c>
      <c r="C55" s="388"/>
      <c r="E55" s="388"/>
      <c r="G55" s="377">
        <f>C55-E55</f>
        <v>0</v>
      </c>
    </row>
    <row r="56" ht="18.75" customHeight="1" spans="1:7">
      <c r="A56" s="372"/>
      <c r="C56" s="386">
        <f>SUM(C49:C55)</f>
        <v>868319000</v>
      </c>
      <c r="E56" s="386">
        <f>SUM(E49:E55)</f>
        <v>868319000</v>
      </c>
      <c r="G56" s="377">
        <f>C56-E56</f>
        <v>0</v>
      </c>
    </row>
    <row r="57" s="5" customFormat="1" ht="18" customHeight="1" spans="1:10">
      <c r="A57" s="365"/>
      <c r="E57" s="368"/>
      <c r="I57" s="397"/>
      <c r="J57" s="397"/>
    </row>
    <row r="58" s="5" customFormat="1" ht="18" customHeight="1" spans="1:10">
      <c r="A58" s="365" t="s">
        <v>28</v>
      </c>
      <c r="B58" s="5" t="s">
        <v>142</v>
      </c>
      <c r="E58" s="368"/>
      <c r="I58" s="397"/>
      <c r="J58" s="397"/>
    </row>
    <row r="59" spans="1:2">
      <c r="A59" s="372"/>
      <c r="B59" s="361" t="s">
        <v>143</v>
      </c>
    </row>
    <row r="60" spans="1:7">
      <c r="A60" s="372"/>
      <c r="B60" s="372"/>
      <c r="C60" s="380" t="s">
        <v>127</v>
      </c>
      <c r="D60" s="381"/>
      <c r="E60" s="382" t="s">
        <v>128</v>
      </c>
      <c r="F60" s="381"/>
      <c r="G60" s="380" t="s">
        <v>129</v>
      </c>
    </row>
    <row r="61" spans="1:7">
      <c r="A61" s="372"/>
      <c r="B61" s="371" t="s">
        <v>144</v>
      </c>
      <c r="C61" s="390"/>
      <c r="D61" s="381"/>
      <c r="E61" s="386"/>
      <c r="F61" s="381"/>
      <c r="G61" s="391">
        <f>C61-E61</f>
        <v>0</v>
      </c>
    </row>
    <row r="62" spans="1:10">
      <c r="A62" s="372"/>
      <c r="B62" s="361" t="s">
        <v>145</v>
      </c>
      <c r="C62" s="386">
        <v>65475500</v>
      </c>
      <c r="E62" s="392">
        <v>33422150</v>
      </c>
      <c r="G62" s="391">
        <f t="shared" ref="G62:G64" si="1">C62-E62</f>
        <v>32053350</v>
      </c>
      <c r="I62" s="364">
        <f>[5]jun!$D$7+[5]jun!$D$8</f>
        <v>33422150</v>
      </c>
      <c r="J62" s="390">
        <v>63057800</v>
      </c>
    </row>
    <row r="63" spans="1:10">
      <c r="A63" s="372"/>
      <c r="B63" s="361" t="s">
        <v>146</v>
      </c>
      <c r="C63" s="393"/>
      <c r="E63" s="394">
        <v>33422150</v>
      </c>
      <c r="G63" s="391">
        <f t="shared" si="1"/>
        <v>-33422150</v>
      </c>
      <c r="I63" s="364">
        <f>[5]okt!$D$7+[5]okt!$D$8</f>
        <v>33422150</v>
      </c>
      <c r="J63" s="364">
        <f>J62-C62</f>
        <v>-2417700</v>
      </c>
    </row>
    <row r="64" spans="1:9">
      <c r="A64" s="372"/>
      <c r="B64" s="361" t="s">
        <v>147</v>
      </c>
      <c r="C64" s="395"/>
      <c r="E64" s="396">
        <v>6404500</v>
      </c>
      <c r="G64" s="391">
        <f t="shared" si="1"/>
        <v>-6404500</v>
      </c>
      <c r="I64" s="364">
        <f>[5]des!$D$7</f>
        <v>6404500</v>
      </c>
    </row>
    <row r="65" spans="1:7">
      <c r="A65" s="372"/>
      <c r="C65" s="396">
        <f>SUM(C61:C64)</f>
        <v>65475500</v>
      </c>
      <c r="E65" s="396">
        <f>SUM(E61:E64)</f>
        <v>73248800</v>
      </c>
      <c r="G65" s="396">
        <f>SUM(G61:G64)</f>
        <v>-7773300</v>
      </c>
    </row>
    <row r="66" spans="1:7">
      <c r="A66" s="372"/>
      <c r="B66" s="362" t="s">
        <v>148</v>
      </c>
      <c r="C66" s="396"/>
      <c r="E66" s="400"/>
      <c r="G66" s="377"/>
    </row>
    <row r="67" s="361" customFormat="1" spans="1:10">
      <c r="A67" s="372"/>
      <c r="B67" s="362" t="s">
        <v>149</v>
      </c>
      <c r="C67" s="396"/>
      <c r="E67" s="400"/>
      <c r="G67" s="377"/>
      <c r="I67" s="364"/>
      <c r="J67" s="364"/>
    </row>
    <row r="68" s="360" customFormat="1" spans="1:10">
      <c r="A68" s="378"/>
      <c r="B68" s="362" t="s">
        <v>150</v>
      </c>
      <c r="C68" s="401"/>
      <c r="E68" s="402"/>
      <c r="G68" s="403"/>
      <c r="I68" s="399"/>
      <c r="J68" s="399"/>
    </row>
    <row r="69" spans="1:2">
      <c r="A69" s="372"/>
      <c r="B69" s="361" t="s">
        <v>151</v>
      </c>
    </row>
    <row r="70" spans="1:7">
      <c r="A70" s="404"/>
      <c r="C70" s="380" t="s">
        <v>127</v>
      </c>
      <c r="D70" s="381"/>
      <c r="E70" s="382" t="s">
        <v>128</v>
      </c>
      <c r="F70" s="381"/>
      <c r="G70" s="380" t="s">
        <v>129</v>
      </c>
    </row>
    <row r="71" spans="1:7">
      <c r="A71" s="372"/>
      <c r="B71" s="361" t="s">
        <v>146</v>
      </c>
      <c r="C71" s="393"/>
      <c r="E71" s="393"/>
      <c r="G71" s="405">
        <f t="shared" ref="G71:G72" si="2">C71-E71</f>
        <v>0</v>
      </c>
    </row>
    <row r="72" spans="1:7">
      <c r="A72" s="372"/>
      <c r="B72" s="371"/>
      <c r="C72" s="396">
        <f>SUM(C71)</f>
        <v>0</v>
      </c>
      <c r="E72" s="400">
        <f>SUM(E71)</f>
        <v>0</v>
      </c>
      <c r="G72" s="377">
        <f t="shared" si="2"/>
        <v>0</v>
      </c>
    </row>
    <row r="73" spans="1:2">
      <c r="A73" s="372"/>
      <c r="B73" s="361" t="s">
        <v>152</v>
      </c>
    </row>
    <row r="74" spans="1:7">
      <c r="A74" s="404"/>
      <c r="C74" s="380" t="s">
        <v>127</v>
      </c>
      <c r="D74" s="381"/>
      <c r="E74" s="382" t="s">
        <v>128</v>
      </c>
      <c r="F74" s="381"/>
      <c r="G74" s="380" t="s">
        <v>129</v>
      </c>
    </row>
    <row r="75" spans="1:7">
      <c r="A75" s="372"/>
      <c r="B75" s="371" t="s">
        <v>145</v>
      </c>
      <c r="C75" s="406">
        <v>0</v>
      </c>
      <c r="D75" s="377"/>
      <c r="E75" s="407">
        <v>0</v>
      </c>
      <c r="F75" s="377"/>
      <c r="G75" s="406">
        <f t="shared" ref="G75:G76" si="3">C75-E75</f>
        <v>0</v>
      </c>
    </row>
    <row r="76" spans="1:7">
      <c r="A76" s="372"/>
      <c r="B76" s="371"/>
      <c r="C76" s="377">
        <v>0</v>
      </c>
      <c r="D76" s="377"/>
      <c r="E76" s="408">
        <v>0</v>
      </c>
      <c r="F76" s="377"/>
      <c r="G76" s="377">
        <f t="shared" si="3"/>
        <v>0</v>
      </c>
    </row>
    <row r="77" spans="1:7">
      <c r="A77" s="372"/>
      <c r="B77" s="371"/>
      <c r="C77" s="377"/>
      <c r="D77" s="377"/>
      <c r="E77" s="408"/>
      <c r="F77" s="377"/>
      <c r="G77" s="377"/>
    </row>
    <row r="78" spans="1:7">
      <c r="A78" s="372"/>
      <c r="B78" s="371"/>
      <c r="C78" s="377"/>
      <c r="D78" s="377"/>
      <c r="E78" s="408"/>
      <c r="F78" s="377"/>
      <c r="G78" s="377"/>
    </row>
    <row r="79" spans="1:7">
      <c r="A79" s="372"/>
      <c r="B79" s="371"/>
      <c r="C79" s="377"/>
      <c r="D79" s="377"/>
      <c r="E79" s="408"/>
      <c r="F79" s="377"/>
      <c r="G79" s="377"/>
    </row>
    <row r="80" spans="1:7">
      <c r="A80" s="372"/>
      <c r="B80" s="371"/>
      <c r="C80" s="377"/>
      <c r="D80" s="377"/>
      <c r="E80" s="408"/>
      <c r="F80" s="377"/>
      <c r="G80" s="377"/>
    </row>
    <row r="81" spans="1:7">
      <c r="A81" s="372"/>
      <c r="B81" s="371"/>
      <c r="C81" s="377"/>
      <c r="D81" s="377"/>
      <c r="E81" s="408"/>
      <c r="F81" s="377"/>
      <c r="G81" s="377"/>
    </row>
    <row r="82" spans="1:7">
      <c r="A82" s="372"/>
      <c r="B82" s="371"/>
      <c r="C82" s="377"/>
      <c r="D82" s="377"/>
      <c r="E82" s="408"/>
      <c r="F82" s="377"/>
      <c r="G82" s="377"/>
    </row>
    <row r="83" spans="1:7">
      <c r="A83" s="372"/>
      <c r="B83" s="371"/>
      <c r="C83" s="377"/>
      <c r="D83" s="377"/>
      <c r="E83" s="408"/>
      <c r="F83" s="377"/>
      <c r="G83" s="377"/>
    </row>
    <row r="84" s="5" customFormat="1" spans="1:10">
      <c r="A84" s="365" t="s">
        <v>30</v>
      </c>
      <c r="B84" s="5" t="s">
        <v>153</v>
      </c>
      <c r="E84" s="368"/>
      <c r="I84" s="397"/>
      <c r="J84" s="397"/>
    </row>
    <row r="85" spans="1:2">
      <c r="A85" s="372"/>
      <c r="B85" s="361" t="s">
        <v>154</v>
      </c>
    </row>
    <row r="86" spans="1:7">
      <c r="A86" s="372"/>
      <c r="C86" s="380" t="s">
        <v>127</v>
      </c>
      <c r="D86" s="381"/>
      <c r="E86" s="382" t="s">
        <v>128</v>
      </c>
      <c r="F86" s="381"/>
      <c r="G86" s="380" t="s">
        <v>129</v>
      </c>
    </row>
    <row r="87" spans="1:7">
      <c r="A87" s="372"/>
      <c r="B87" s="361" t="s">
        <v>155</v>
      </c>
      <c r="C87" s="386"/>
      <c r="D87" s="396"/>
      <c r="E87" s="361"/>
      <c r="G87" s="377">
        <f>C87-E87</f>
        <v>0</v>
      </c>
    </row>
    <row r="88" spans="1:7">
      <c r="A88" s="372"/>
      <c r="B88" s="361" t="s">
        <v>156</v>
      </c>
      <c r="C88" s="386">
        <v>66518050</v>
      </c>
      <c r="D88" s="396"/>
      <c r="E88" s="386">
        <v>66518050</v>
      </c>
      <c r="G88" s="377">
        <f>C88-E88</f>
        <v>0</v>
      </c>
    </row>
    <row r="89" spans="1:7">
      <c r="A89" s="372"/>
      <c r="B89" s="361" t="s">
        <v>157</v>
      </c>
      <c r="C89" s="386">
        <v>66518050</v>
      </c>
      <c r="D89" s="396"/>
      <c r="E89" s="386">
        <v>66518050</v>
      </c>
      <c r="G89" s="377">
        <f t="shared" ref="G89:G99" si="4">C89-E89</f>
        <v>0</v>
      </c>
    </row>
    <row r="90" spans="1:7">
      <c r="A90" s="372"/>
      <c r="B90" s="361" t="s">
        <v>158</v>
      </c>
      <c r="C90" s="386">
        <v>66518050</v>
      </c>
      <c r="D90" s="396"/>
      <c r="E90" s="386">
        <v>66518050</v>
      </c>
      <c r="G90" s="377">
        <f t="shared" si="4"/>
        <v>0</v>
      </c>
    </row>
    <row r="91" spans="1:9">
      <c r="A91" s="372"/>
      <c r="B91" s="361" t="s">
        <v>159</v>
      </c>
      <c r="C91" s="386">
        <v>66518050</v>
      </c>
      <c r="D91" s="396"/>
      <c r="E91" s="386">
        <v>66518050</v>
      </c>
      <c r="G91" s="377">
        <f t="shared" si="4"/>
        <v>0</v>
      </c>
      <c r="I91" s="364">
        <v>751777000</v>
      </c>
    </row>
    <row r="92" spans="1:9">
      <c r="A92" s="372"/>
      <c r="B92" s="361" t="s">
        <v>160</v>
      </c>
      <c r="C92" s="386">
        <v>66518050</v>
      </c>
      <c r="D92" s="396"/>
      <c r="E92" s="386">
        <v>66518050</v>
      </c>
      <c r="G92" s="377">
        <f t="shared" si="4"/>
        <v>0</v>
      </c>
      <c r="I92" s="420">
        <f>I91/12</f>
        <v>62648083.3333333</v>
      </c>
    </row>
    <row r="93" spans="1:11">
      <c r="A93" s="372"/>
      <c r="B93" s="361" t="s">
        <v>161</v>
      </c>
      <c r="C93" s="386">
        <v>66518050</v>
      </c>
      <c r="D93" s="396"/>
      <c r="E93" s="386">
        <v>66518050</v>
      </c>
      <c r="G93" s="377">
        <f t="shared" si="4"/>
        <v>0</v>
      </c>
      <c r="I93" s="420"/>
      <c r="K93" s="421">
        <f>I93+I92</f>
        <v>62648083.3333333</v>
      </c>
    </row>
    <row r="94" spans="1:9">
      <c r="A94" s="372"/>
      <c r="B94" s="361" t="s">
        <v>162</v>
      </c>
      <c r="C94" s="386">
        <v>66518050</v>
      </c>
      <c r="D94" s="396"/>
      <c r="E94" s="386">
        <v>66518050</v>
      </c>
      <c r="G94" s="377">
        <f t="shared" si="4"/>
        <v>0</v>
      </c>
      <c r="I94" s="420"/>
    </row>
    <row r="95" spans="1:9">
      <c r="A95" s="372"/>
      <c r="B95" s="361" t="s">
        <v>163</v>
      </c>
      <c r="C95" s="386">
        <v>66518050</v>
      </c>
      <c r="D95" s="396"/>
      <c r="E95" s="386">
        <v>66518050</v>
      </c>
      <c r="G95" s="377">
        <f t="shared" si="4"/>
        <v>0</v>
      </c>
      <c r="I95" s="420">
        <f>I91-C100</f>
        <v>-46439600</v>
      </c>
    </row>
    <row r="96" spans="1:10">
      <c r="A96" s="372"/>
      <c r="B96" s="361" t="s">
        <v>164</v>
      </c>
      <c r="C96" s="386">
        <v>66518050</v>
      </c>
      <c r="D96" s="396"/>
      <c r="E96" s="386">
        <v>66518050</v>
      </c>
      <c r="G96" s="377">
        <f t="shared" si="4"/>
        <v>0</v>
      </c>
      <c r="I96" s="420"/>
      <c r="J96" s="364">
        <f>'[3]tahap i 2022'!$J$57</f>
        <v>11148030</v>
      </c>
    </row>
    <row r="97" ht="14.5" spans="1:10">
      <c r="A97" s="372"/>
      <c r="B97" s="361" t="s">
        <v>165</v>
      </c>
      <c r="C97" s="386">
        <v>66518050</v>
      </c>
      <c r="D97" s="396"/>
      <c r="E97" s="386">
        <v>66518050</v>
      </c>
      <c r="G97" s="377">
        <f t="shared" si="4"/>
        <v>0</v>
      </c>
      <c r="I97" s="383">
        <v>748426456</v>
      </c>
      <c r="J97" s="364">
        <f>G100-J96</f>
        <v>-11151730</v>
      </c>
    </row>
    <row r="98" spans="1:9">
      <c r="A98" s="372"/>
      <c r="B98" s="361" t="s">
        <v>166</v>
      </c>
      <c r="C98" s="386">
        <v>66518050</v>
      </c>
      <c r="D98" s="396"/>
      <c r="E98" s="386">
        <v>66518050</v>
      </c>
      <c r="G98" s="377">
        <f t="shared" si="4"/>
        <v>0</v>
      </c>
      <c r="I98" s="420"/>
    </row>
    <row r="99" ht="14" spans="1:9">
      <c r="A99" s="372"/>
      <c r="B99" s="361" t="s">
        <v>167</v>
      </c>
      <c r="C99" s="386">
        <v>66518050</v>
      </c>
      <c r="D99" s="396"/>
      <c r="E99" s="409">
        <v>66521750</v>
      </c>
      <c r="G99" s="377">
        <f t="shared" si="4"/>
        <v>-3700</v>
      </c>
      <c r="I99" s="420">
        <f>I97-E100</f>
        <v>-49793844</v>
      </c>
    </row>
    <row r="100" spans="1:9">
      <c r="A100" s="372"/>
      <c r="C100" s="410">
        <f t="shared" ref="C100:E100" si="5">SUM(C87:C99)</f>
        <v>798216600</v>
      </c>
      <c r="D100" s="396"/>
      <c r="E100" s="410">
        <f t="shared" si="5"/>
        <v>798220300</v>
      </c>
      <c r="G100" s="410">
        <f>SUM(G87:G99)</f>
        <v>-3700</v>
      </c>
      <c r="I100" s="420"/>
    </row>
    <row r="101" s="362" customFormat="1" ht="15" customHeight="1" spans="1:10">
      <c r="A101" s="411"/>
      <c r="B101" s="362" t="s">
        <v>168</v>
      </c>
      <c r="C101" s="412"/>
      <c r="D101" s="412"/>
      <c r="E101" s="413"/>
      <c r="G101" s="414"/>
      <c r="I101" s="422"/>
      <c r="J101" s="422"/>
    </row>
    <row r="102" s="362" customFormat="1" ht="15" customHeight="1" spans="1:10">
      <c r="A102" s="411"/>
      <c r="B102" s="362" t="s">
        <v>169</v>
      </c>
      <c r="C102" s="412"/>
      <c r="D102" s="412"/>
      <c r="E102" s="413"/>
      <c r="G102" s="414"/>
      <c r="I102" s="422"/>
      <c r="J102" s="422"/>
    </row>
    <row r="103" s="5" customFormat="1" spans="1:10">
      <c r="A103" s="365" t="s">
        <v>32</v>
      </c>
      <c r="B103" s="5" t="s">
        <v>33</v>
      </c>
      <c r="E103" s="368"/>
      <c r="I103" s="397"/>
      <c r="J103" s="397"/>
    </row>
    <row r="104" spans="1:2">
      <c r="A104" s="372"/>
      <c r="B104" s="361" t="s">
        <v>170</v>
      </c>
    </row>
    <row r="105" spans="1:7">
      <c r="A105" s="372"/>
      <c r="C105" s="380" t="s">
        <v>127</v>
      </c>
      <c r="D105" s="381"/>
      <c r="E105" s="382" t="s">
        <v>128</v>
      </c>
      <c r="F105" s="381"/>
      <c r="G105" s="380" t="s">
        <v>129</v>
      </c>
    </row>
    <row r="106" spans="1:7">
      <c r="A106" s="372"/>
      <c r="B106" s="361" t="s">
        <v>171</v>
      </c>
      <c r="C106" s="391">
        <v>700000000</v>
      </c>
      <c r="D106" s="391"/>
      <c r="E106" s="391">
        <f>[6]apr!$D$7</f>
        <v>116045999</v>
      </c>
      <c r="F106" s="391"/>
      <c r="G106" s="377">
        <f t="shared" ref="G106:G108" si="6">C106-E106</f>
        <v>583954001</v>
      </c>
    </row>
    <row r="107" spans="1:7">
      <c r="A107" s="372"/>
      <c r="C107" s="393"/>
      <c r="E107" s="393"/>
      <c r="G107" s="405">
        <f t="shared" si="6"/>
        <v>0</v>
      </c>
    </row>
    <row r="108" spans="1:7">
      <c r="A108" s="372"/>
      <c r="B108" s="371"/>
      <c r="C108" s="415">
        <f>C106</f>
        <v>700000000</v>
      </c>
      <c r="D108" s="415">
        <f t="shared" ref="D108:F108" si="7">D106</f>
        <v>0</v>
      </c>
      <c r="E108" s="415">
        <f t="shared" si="7"/>
        <v>116045999</v>
      </c>
      <c r="F108" s="415">
        <f t="shared" si="7"/>
        <v>0</v>
      </c>
      <c r="G108" s="406">
        <f t="shared" si="6"/>
        <v>583954001</v>
      </c>
    </row>
    <row r="109" s="5" customFormat="1" spans="1:10">
      <c r="A109" s="365"/>
      <c r="B109" s="362" t="s">
        <v>148</v>
      </c>
      <c r="E109" s="368"/>
      <c r="I109" s="397"/>
      <c r="J109" s="397"/>
    </row>
    <row r="110" s="5" customFormat="1" spans="1:10">
      <c r="A110" s="365"/>
      <c r="B110" s="362" t="s">
        <v>172</v>
      </c>
      <c r="E110" s="368"/>
      <c r="I110" s="397"/>
      <c r="J110" s="397"/>
    </row>
    <row r="111" s="5" customFormat="1" spans="1:10">
      <c r="A111" s="365"/>
      <c r="B111" s="362" t="s">
        <v>173</v>
      </c>
      <c r="E111" s="368"/>
      <c r="I111" s="397"/>
      <c r="J111" s="397"/>
    </row>
    <row r="112" s="5" customFormat="1" spans="1:10">
      <c r="A112" s="365"/>
      <c r="E112" s="368"/>
      <c r="I112" s="397"/>
      <c r="J112" s="397"/>
    </row>
    <row r="113" s="5" customFormat="1" spans="1:10">
      <c r="A113" s="365" t="s">
        <v>34</v>
      </c>
      <c r="B113" s="5" t="s">
        <v>35</v>
      </c>
      <c r="E113" s="368"/>
      <c r="I113" s="397"/>
      <c r="J113" s="397"/>
    </row>
    <row r="114" ht="42.75" customHeight="1" spans="1:7">
      <c r="A114" s="372"/>
      <c r="B114" s="387" t="s">
        <v>174</v>
      </c>
      <c r="C114" s="380" t="s">
        <v>127</v>
      </c>
      <c r="D114" s="381"/>
      <c r="E114" s="382" t="s">
        <v>128</v>
      </c>
      <c r="F114" s="381"/>
      <c r="G114" s="380" t="s">
        <v>129</v>
      </c>
    </row>
    <row r="115" spans="1:7">
      <c r="A115" s="372"/>
      <c r="B115" s="387"/>
      <c r="C115" s="386"/>
      <c r="D115" s="396"/>
      <c r="E115" s="386"/>
      <c r="F115" s="396"/>
      <c r="G115" s="377">
        <f t="shared" ref="G115:G118" si="8">C115-E115</f>
        <v>0</v>
      </c>
    </row>
    <row r="116" spans="1:7">
      <c r="A116" s="372"/>
      <c r="B116" s="387" t="s">
        <v>35</v>
      </c>
      <c r="C116" s="386"/>
      <c r="D116" s="396"/>
      <c r="E116" s="386"/>
      <c r="F116" s="396"/>
      <c r="G116" s="377">
        <f t="shared" si="8"/>
        <v>0</v>
      </c>
    </row>
    <row r="117" spans="1:7">
      <c r="A117" s="372"/>
      <c r="B117" s="371"/>
      <c r="C117" s="393"/>
      <c r="D117" s="396"/>
      <c r="E117" s="393"/>
      <c r="F117" s="396"/>
      <c r="G117" s="405">
        <f t="shared" si="8"/>
        <v>0</v>
      </c>
    </row>
    <row r="118" spans="1:7">
      <c r="A118" s="372"/>
      <c r="C118" s="410">
        <f>SUM(C115:C117)</f>
        <v>0</v>
      </c>
      <c r="D118" s="396"/>
      <c r="E118" s="416">
        <f>SUM(E115:E117)</f>
        <v>0</v>
      </c>
      <c r="F118" s="396"/>
      <c r="G118" s="406">
        <f t="shared" si="8"/>
        <v>0</v>
      </c>
    </row>
    <row r="119" ht="14.25" customHeight="1" spans="1:2">
      <c r="A119" s="372"/>
      <c r="B119" s="404"/>
    </row>
    <row r="120" s="5" customFormat="1" spans="1:10">
      <c r="A120" s="365" t="s">
        <v>36</v>
      </c>
      <c r="B120" s="5" t="s">
        <v>175</v>
      </c>
      <c r="E120" s="368"/>
      <c r="I120" s="397"/>
      <c r="J120" s="397"/>
    </row>
    <row r="121" spans="1:7">
      <c r="A121" s="372"/>
      <c r="B121" s="361" t="s">
        <v>176</v>
      </c>
      <c r="C121" s="380" t="s">
        <v>127</v>
      </c>
      <c r="D121" s="381"/>
      <c r="E121" s="382" t="s">
        <v>128</v>
      </c>
      <c r="F121" s="381"/>
      <c r="G121" s="380" t="s">
        <v>129</v>
      </c>
    </row>
    <row r="122" spans="1:9">
      <c r="A122" s="372"/>
      <c r="B122" s="417" t="s">
        <v>177</v>
      </c>
      <c r="C122" s="418"/>
      <c r="D122" s="377"/>
      <c r="E122" s="418"/>
      <c r="F122" s="377"/>
      <c r="G122" s="377">
        <f>C122</f>
        <v>0</v>
      </c>
      <c r="I122" s="364">
        <f>SUM(E123:E134)</f>
        <v>1541512</v>
      </c>
    </row>
    <row r="123" ht="14.5" spans="1:10">
      <c r="A123" s="372"/>
      <c r="B123" s="417" t="s">
        <v>178</v>
      </c>
      <c r="C123" s="418">
        <v>400000</v>
      </c>
      <c r="D123" s="377"/>
      <c r="E123" s="390">
        <f>[7]Sheet2!$D$7-[7]Sheet2!$E$8</f>
        <v>6934</v>
      </c>
      <c r="F123" s="377"/>
      <c r="G123" s="377">
        <f>C123-E123</f>
        <v>393066</v>
      </c>
      <c r="I123" s="383">
        <v>2204126</v>
      </c>
      <c r="J123" s="364">
        <f>4800000/12</f>
        <v>400000</v>
      </c>
    </row>
    <row r="124" spans="1:9">
      <c r="A124" s="372"/>
      <c r="B124" s="419" t="s">
        <v>179</v>
      </c>
      <c r="C124" s="418">
        <v>400000</v>
      </c>
      <c r="D124" s="377"/>
      <c r="E124" s="390">
        <f>[7]Sheet3!$D$7-[7]Sheet3!$E$8</f>
        <v>9060</v>
      </c>
      <c r="F124" s="377"/>
      <c r="G124" s="377">
        <f>C124-E124</f>
        <v>390940</v>
      </c>
      <c r="I124" s="364">
        <f>I123-I122</f>
        <v>662614</v>
      </c>
    </row>
    <row r="125" spans="1:7">
      <c r="A125" s="372"/>
      <c r="B125" s="419" t="s">
        <v>180</v>
      </c>
      <c r="C125" s="418">
        <v>400000</v>
      </c>
      <c r="D125" s="377"/>
      <c r="E125" s="390">
        <f>[7]Sheet3!$D$10-[7]Sheet3!$E$11</f>
        <v>143498</v>
      </c>
      <c r="F125" s="377"/>
      <c r="G125" s="377">
        <f t="shared" ref="G125:G136" si="9">C125-E125</f>
        <v>256502</v>
      </c>
    </row>
    <row r="126" spans="1:7">
      <c r="A126" s="372"/>
      <c r="B126" s="419" t="s">
        <v>181</v>
      </c>
      <c r="C126" s="418">
        <v>400000</v>
      </c>
      <c r="D126" s="377"/>
      <c r="E126" s="390">
        <f>[7]Sheet5!$D$7-[7]Sheet5!$E$8</f>
        <v>256877</v>
      </c>
      <c r="F126" s="377"/>
      <c r="G126" s="377">
        <f t="shared" si="9"/>
        <v>143123</v>
      </c>
    </row>
    <row r="127" spans="1:7">
      <c r="A127" s="372"/>
      <c r="B127" s="419" t="s">
        <v>182</v>
      </c>
      <c r="C127" s="418">
        <v>400000</v>
      </c>
      <c r="D127" s="377"/>
      <c r="E127" s="390">
        <f>[7]Sheet6!$D$7-[7]Sheet6!$E$8</f>
        <v>209376</v>
      </c>
      <c r="F127" s="377"/>
      <c r="G127" s="377">
        <f t="shared" si="9"/>
        <v>190624</v>
      </c>
    </row>
    <row r="128" spans="1:7">
      <c r="A128" s="372"/>
      <c r="B128" s="419" t="s">
        <v>183</v>
      </c>
      <c r="C128" s="418">
        <v>400000</v>
      </c>
      <c r="D128" s="377"/>
      <c r="E128" s="390">
        <f>[7]Sheet6!$D$10-[7]Sheet6!$E$11</f>
        <v>119038</v>
      </c>
      <c r="F128" s="377"/>
      <c r="G128" s="377">
        <f t="shared" si="9"/>
        <v>280962</v>
      </c>
    </row>
    <row r="129" spans="1:7">
      <c r="A129" s="372"/>
      <c r="B129" s="419" t="s">
        <v>184</v>
      </c>
      <c r="C129" s="418">
        <v>400000</v>
      </c>
      <c r="D129" s="377"/>
      <c r="E129" s="390">
        <f>[7]Sheet8!$D$7-[7]Sheet8!$E$8</f>
        <v>94045</v>
      </c>
      <c r="F129" s="377"/>
      <c r="G129" s="377">
        <f t="shared" si="9"/>
        <v>305955</v>
      </c>
    </row>
    <row r="130" spans="1:7">
      <c r="A130" s="372"/>
      <c r="B130" s="419" t="s">
        <v>185</v>
      </c>
      <c r="C130" s="418">
        <v>400000</v>
      </c>
      <c r="D130" s="377"/>
      <c r="E130" s="390">
        <f>[7]Sheet8!$D$10-[7]Sheet8!$E$11</f>
        <v>109718</v>
      </c>
      <c r="F130" s="377"/>
      <c r="G130" s="377">
        <f t="shared" si="9"/>
        <v>290282</v>
      </c>
    </row>
    <row r="131" spans="1:7">
      <c r="A131" s="372"/>
      <c r="B131" s="419" t="s">
        <v>186</v>
      </c>
      <c r="C131" s="418">
        <v>400000</v>
      </c>
      <c r="D131" s="377"/>
      <c r="E131" s="390">
        <f>[7]Sheet10!$D$7-[7]Sheet10!$E$8</f>
        <v>136509</v>
      </c>
      <c r="F131" s="377"/>
      <c r="G131" s="377">
        <f t="shared" si="9"/>
        <v>263491</v>
      </c>
    </row>
    <row r="132" spans="1:9">
      <c r="A132" s="372"/>
      <c r="B132" s="419" t="s">
        <v>187</v>
      </c>
      <c r="C132" s="418">
        <v>400000</v>
      </c>
      <c r="D132" s="377"/>
      <c r="E132" s="390">
        <f>[7]Sheet11!$D$7-[7]Sheet11!$E$8</f>
        <v>65223</v>
      </c>
      <c r="F132" s="377"/>
      <c r="G132" s="377">
        <f t="shared" si="9"/>
        <v>334777</v>
      </c>
      <c r="I132" s="364">
        <f>4800000/12</f>
        <v>400000</v>
      </c>
    </row>
    <row r="133" spans="1:16">
      <c r="A133" s="372"/>
      <c r="B133" s="419" t="s">
        <v>188</v>
      </c>
      <c r="C133" s="418">
        <v>400000</v>
      </c>
      <c r="D133" s="377"/>
      <c r="E133" s="423">
        <f>[7]Sheet11!$D$11-[7]Sheet11!$E$12</f>
        <v>45686</v>
      </c>
      <c r="F133" s="377"/>
      <c r="G133" s="377">
        <f t="shared" si="9"/>
        <v>354314</v>
      </c>
      <c r="J133" s="419"/>
      <c r="K133" s="434"/>
      <c r="L133" s="434"/>
      <c r="M133" s="434"/>
      <c r="N133" s="434"/>
      <c r="O133" s="434"/>
      <c r="P133" s="390">
        <v>1500000</v>
      </c>
    </row>
    <row r="134" spans="1:16">
      <c r="A134" s="372"/>
      <c r="B134" s="361" t="s">
        <v>189</v>
      </c>
      <c r="C134" s="418">
        <v>400000</v>
      </c>
      <c r="D134" s="377"/>
      <c r="E134" s="423">
        <v>345548</v>
      </c>
      <c r="F134" s="377"/>
      <c r="G134" s="377">
        <f t="shared" si="9"/>
        <v>54452</v>
      </c>
      <c r="I134" s="364">
        <v>1541512</v>
      </c>
      <c r="J134" s="435"/>
      <c r="K134" s="434"/>
      <c r="L134" s="434"/>
      <c r="M134" s="434"/>
      <c r="N134" s="434"/>
      <c r="O134" s="434"/>
      <c r="P134" s="390">
        <v>3500000</v>
      </c>
    </row>
    <row r="135" spans="1:9">
      <c r="A135" s="372"/>
      <c r="B135" s="371" t="s">
        <v>190</v>
      </c>
      <c r="C135" s="395">
        <v>1500000</v>
      </c>
      <c r="E135" s="395"/>
      <c r="G135" s="377">
        <f t="shared" si="9"/>
        <v>1500000</v>
      </c>
      <c r="I135" s="364">
        <f>I134-E137</f>
        <v>-20213000</v>
      </c>
    </row>
    <row r="136" ht="14.5" spans="1:7">
      <c r="A136" s="372"/>
      <c r="B136" s="424" t="s">
        <v>191</v>
      </c>
      <c r="C136" s="395"/>
      <c r="E136" s="395">
        <f>I!F23</f>
        <v>20213000</v>
      </c>
      <c r="G136" s="377">
        <f t="shared" si="9"/>
        <v>-20213000</v>
      </c>
    </row>
    <row r="137" spans="1:7">
      <c r="A137" s="372"/>
      <c r="B137" s="371"/>
      <c r="C137" s="415">
        <f>SUM(C122:C135)</f>
        <v>6300000</v>
      </c>
      <c r="E137" s="415">
        <f>SUM(E122:E136)</f>
        <v>21754512</v>
      </c>
      <c r="G137" s="415">
        <f>SUM(G122:G136)</f>
        <v>-15454512</v>
      </c>
    </row>
    <row r="138" ht="17.25" customHeight="1" spans="1:2">
      <c r="A138" s="372"/>
      <c r="B138" s="361" t="s">
        <v>148</v>
      </c>
    </row>
    <row r="139" s="5" customFormat="1" ht="16.5" customHeight="1" spans="1:10">
      <c r="A139" s="365"/>
      <c r="B139" s="362" t="s">
        <v>192</v>
      </c>
      <c r="E139" s="368"/>
      <c r="I139" s="397"/>
      <c r="J139" s="397"/>
    </row>
    <row r="140" s="5" customFormat="1" ht="16.5" customHeight="1" spans="1:10">
      <c r="A140" s="365"/>
      <c r="E140" s="368"/>
      <c r="I140" s="397"/>
      <c r="J140" s="397"/>
    </row>
    <row r="141" s="5" customFormat="1" ht="16.5" customHeight="1" spans="1:10">
      <c r="A141" s="365" t="s">
        <v>38</v>
      </c>
      <c r="B141" s="5" t="s">
        <v>193</v>
      </c>
      <c r="E141" s="368"/>
      <c r="I141" s="397"/>
      <c r="J141" s="397"/>
    </row>
    <row r="142" ht="18.75" customHeight="1" spans="1:9">
      <c r="A142" s="372"/>
      <c r="B142" s="361" t="s">
        <v>194</v>
      </c>
      <c r="I142" s="364">
        <v>871984452</v>
      </c>
    </row>
    <row r="143" spans="1:9">
      <c r="A143" s="372"/>
      <c r="C143" s="380" t="s">
        <v>127</v>
      </c>
      <c r="D143" s="381"/>
      <c r="E143" s="382" t="s">
        <v>128</v>
      </c>
      <c r="F143" s="381"/>
      <c r="G143" s="380" t="s">
        <v>129</v>
      </c>
      <c r="I143" s="364">
        <f>I142-E147</f>
        <v>0</v>
      </c>
    </row>
    <row r="144" spans="1:7">
      <c r="A144" s="372"/>
      <c r="B144" s="361" t="s">
        <v>195</v>
      </c>
      <c r="C144" s="386">
        <f>46800000+606877400+42022992+61047780</f>
        <v>756748172</v>
      </c>
      <c r="D144" s="386"/>
      <c r="E144" s="386">
        <f>46800000+569329000+39481620+61047780</f>
        <v>716658400</v>
      </c>
      <c r="F144" s="386"/>
      <c r="G144" s="386">
        <f>C144-E144</f>
        <v>40089772</v>
      </c>
    </row>
    <row r="145" spans="1:9">
      <c r="A145" s="372"/>
      <c r="B145" s="361" t="s">
        <v>196</v>
      </c>
      <c r="C145" s="386">
        <f>33421748+9687136+2988900+25410000+2500000+2139000+6408800+4000000+4585344+700000+5236998+1195000+3795000+6346000+8067000+1289600+3739113+18050750+2800000</f>
        <v>142360389</v>
      </c>
      <c r="D145" s="386"/>
      <c r="E145" s="388">
        <f>30399802+9600000+2988900+25410000+2500000+7500+5900000+4000000+4585000+1195000+3795000+6346000+8067000+1289600+3739000+18050750+2152500</f>
        <v>130026052</v>
      </c>
      <c r="F145" s="386"/>
      <c r="G145" s="386">
        <f>C145-E145</f>
        <v>12334337</v>
      </c>
      <c r="I145" s="364">
        <f>50293135*12</f>
        <v>603517620</v>
      </c>
    </row>
    <row r="146" spans="1:9">
      <c r="A146" s="372"/>
      <c r="B146" s="361" t="s">
        <v>197</v>
      </c>
      <c r="C146" s="393">
        <f>9561600+18750000+3000000</f>
        <v>31311600</v>
      </c>
      <c r="D146" s="386"/>
      <c r="E146" s="392">
        <f>9550000+12750000+3000000</f>
        <v>25300000</v>
      </c>
      <c r="F146" s="386"/>
      <c r="G146" s="393">
        <f>C146-E146</f>
        <v>6011600</v>
      </c>
      <c r="I146" s="364">
        <f>4650000*12</f>
        <v>55800000</v>
      </c>
    </row>
    <row r="147" spans="1:9">
      <c r="A147" s="372"/>
      <c r="B147" s="371"/>
      <c r="C147" s="386">
        <f>SUM(C144:C146)</f>
        <v>930420161</v>
      </c>
      <c r="D147" s="386"/>
      <c r="E147" s="388">
        <f>SUM(E144:E146)</f>
        <v>871984452</v>
      </c>
      <c r="F147" s="386"/>
      <c r="G147" s="386">
        <f>C147-E147</f>
        <v>58435709</v>
      </c>
      <c r="I147" s="364" t="e">
        <f>#REF!</f>
        <v>#REF!</v>
      </c>
    </row>
    <row r="148" spans="1:9">
      <c r="A148" s="372"/>
      <c r="B148" s="425" t="s">
        <v>148</v>
      </c>
      <c r="C148" s="386"/>
      <c r="D148" s="386"/>
      <c r="E148" s="388"/>
      <c r="F148" s="386"/>
      <c r="G148" s="386"/>
      <c r="I148" s="364">
        <f>650000+545000+545000+545000+545000+4365000+940000+968000+2200000+2000000+6000000+17100000+3600000+3400000</f>
        <v>43403000</v>
      </c>
    </row>
    <row r="149" spans="1:9">
      <c r="A149" s="372"/>
      <c r="B149" s="425" t="s">
        <v>198</v>
      </c>
      <c r="C149" s="386"/>
      <c r="D149" s="386"/>
      <c r="E149" s="388"/>
      <c r="F149" s="386"/>
      <c r="G149" s="386"/>
      <c r="I149" s="364">
        <v>4650000</v>
      </c>
    </row>
    <row r="150" spans="1:7">
      <c r="A150" s="372"/>
      <c r="B150" s="425" t="s">
        <v>199</v>
      </c>
      <c r="C150" s="386"/>
      <c r="D150" s="386"/>
      <c r="E150" s="388"/>
      <c r="F150" s="386"/>
      <c r="G150" s="386"/>
    </row>
    <row r="151" ht="15.75" customHeight="1" spans="1:9">
      <c r="A151" s="372"/>
      <c r="B151" s="362" t="s">
        <v>200</v>
      </c>
      <c r="E151" s="426"/>
      <c r="I151" s="364" t="e">
        <f>SUM(I144:I150)</f>
        <v>#REF!</v>
      </c>
    </row>
    <row r="152" spans="1:7">
      <c r="A152" s="365"/>
      <c r="B152" s="362" t="s">
        <v>201</v>
      </c>
      <c r="E152" s="427"/>
      <c r="G152" s="428"/>
    </row>
    <row r="153" spans="1:7">
      <c r="A153" s="365"/>
      <c r="B153" s="362" t="s">
        <v>202</v>
      </c>
      <c r="E153" s="427"/>
      <c r="G153" s="428"/>
    </row>
    <row r="154" spans="1:7">
      <c r="A154" s="365"/>
      <c r="B154" s="5"/>
      <c r="E154" s="427"/>
      <c r="G154" s="428"/>
    </row>
    <row r="155" spans="1:7">
      <c r="A155" s="365"/>
      <c r="B155" s="5"/>
      <c r="E155" s="427"/>
      <c r="G155" s="428"/>
    </row>
    <row r="156" spans="1:7">
      <c r="A156" s="365"/>
      <c r="B156" s="5"/>
      <c r="E156" s="427"/>
      <c r="G156" s="428"/>
    </row>
    <row r="157" spans="1:7">
      <c r="A157" s="365"/>
      <c r="B157" s="5"/>
      <c r="E157" s="427"/>
      <c r="G157" s="428"/>
    </row>
    <row r="158" spans="1:7">
      <c r="A158" s="365"/>
      <c r="B158" s="5"/>
      <c r="E158" s="427"/>
      <c r="G158" s="428"/>
    </row>
    <row r="159" spans="1:7">
      <c r="A159" s="365"/>
      <c r="B159" s="5"/>
      <c r="E159" s="427"/>
      <c r="G159" s="428"/>
    </row>
    <row r="160" spans="1:7">
      <c r="A160" s="365"/>
      <c r="B160" s="5"/>
      <c r="E160" s="427"/>
      <c r="G160" s="428"/>
    </row>
    <row r="161" spans="1:7">
      <c r="A161" s="365"/>
      <c r="B161" s="5"/>
      <c r="E161" s="427"/>
      <c r="G161" s="428"/>
    </row>
    <row r="162" spans="1:7">
      <c r="A162" s="365"/>
      <c r="B162" s="5"/>
      <c r="E162" s="427"/>
      <c r="G162" s="428"/>
    </row>
    <row r="163" spans="1:7">
      <c r="A163" s="365"/>
      <c r="B163" s="5"/>
      <c r="E163" s="427"/>
      <c r="G163" s="428"/>
    </row>
    <row r="164" spans="1:7">
      <c r="A164" s="365"/>
      <c r="B164" s="5"/>
      <c r="E164" s="427"/>
      <c r="G164" s="428"/>
    </row>
    <row r="165" spans="1:7">
      <c r="A165" s="365"/>
      <c r="B165" s="5"/>
      <c r="E165" s="427"/>
      <c r="G165" s="428"/>
    </row>
    <row r="166" spans="1:7">
      <c r="A166" s="365" t="s">
        <v>203</v>
      </c>
      <c r="B166" s="5" t="s">
        <v>204</v>
      </c>
      <c r="E166" s="427"/>
      <c r="G166" s="428"/>
    </row>
    <row r="167" ht="18.75" customHeight="1" spans="2:2">
      <c r="B167" s="361" t="s">
        <v>205</v>
      </c>
    </row>
    <row r="168" spans="1:7">
      <c r="A168" s="372"/>
      <c r="B168" s="372"/>
      <c r="C168" s="380" t="s">
        <v>127</v>
      </c>
      <c r="D168" s="381"/>
      <c r="E168" s="382" t="s">
        <v>128</v>
      </c>
      <c r="F168" s="381"/>
      <c r="G168" s="380" t="s">
        <v>129</v>
      </c>
    </row>
    <row r="169" spans="2:7">
      <c r="B169" s="361" t="s">
        <v>196</v>
      </c>
      <c r="C169" s="386">
        <f>3000000+6320000+14618100+2790500+3000000+54000000+3193500</f>
        <v>86922100</v>
      </c>
      <c r="D169" s="386"/>
      <c r="E169" s="388">
        <f>3000000+6320000+14598000+2790000+3000000+54000000+3193500</f>
        <v>86901500</v>
      </c>
      <c r="F169" s="386"/>
      <c r="G169" s="386">
        <f>C169-E169</f>
        <v>20600</v>
      </c>
    </row>
    <row r="170" spans="2:9">
      <c r="B170" s="361" t="s">
        <v>197</v>
      </c>
      <c r="C170" s="393">
        <f>212565000+99175730+135586000+186065000+40788000+240398550+100960000+242595452</f>
        <v>1258133732</v>
      </c>
      <c r="D170" s="386"/>
      <c r="E170" s="392">
        <f>212565000+99171000+135586000+186065000</f>
        <v>633387000</v>
      </c>
      <c r="F170" s="386"/>
      <c r="G170" s="393">
        <f>C170-E170</f>
        <v>624746732</v>
      </c>
      <c r="I170" s="364">
        <f>'lamp ii lap realisasi kegiatan2'!F212</f>
        <v>1345055832</v>
      </c>
    </row>
    <row r="171" spans="3:9">
      <c r="C171" s="386">
        <f>SUM(C169:C170)</f>
        <v>1345055832</v>
      </c>
      <c r="D171" s="386"/>
      <c r="E171" s="388">
        <f>SUM(E169:E170)</f>
        <v>720288500</v>
      </c>
      <c r="F171" s="386"/>
      <c r="G171" s="386">
        <f>C171-E171</f>
        <v>624767332</v>
      </c>
      <c r="I171" s="364">
        <f>'lamp ii lap realisasi kegiatan2'!I212</f>
        <v>720288500</v>
      </c>
    </row>
    <row r="172" ht="18" customHeight="1" spans="2:2">
      <c r="B172" s="361" t="s">
        <v>148</v>
      </c>
    </row>
    <row r="173" s="5" customFormat="1" spans="1:10">
      <c r="A173" s="365"/>
      <c r="B173" s="362" t="s">
        <v>206</v>
      </c>
      <c r="C173" s="429"/>
      <c r="D173" s="429"/>
      <c r="E173" s="429"/>
      <c r="G173" s="429"/>
      <c r="I173" s="397"/>
      <c r="J173" s="397"/>
    </row>
    <row r="174" s="5" customFormat="1" spans="1:10">
      <c r="A174" s="365"/>
      <c r="B174" s="362" t="s">
        <v>207</v>
      </c>
      <c r="C174" s="429"/>
      <c r="D174" s="429"/>
      <c r="E174" s="429"/>
      <c r="G174" s="429"/>
      <c r="I174" s="397"/>
      <c r="J174" s="397"/>
    </row>
    <row r="175" s="5" customFormat="1" spans="1:10">
      <c r="A175" s="365"/>
      <c r="B175" s="362" t="s">
        <v>208</v>
      </c>
      <c r="C175" s="429"/>
      <c r="D175" s="429"/>
      <c r="E175" s="429"/>
      <c r="G175" s="429"/>
      <c r="I175" s="397"/>
      <c r="J175" s="397"/>
    </row>
    <row r="176" s="5" customFormat="1" spans="1:10">
      <c r="A176" s="365"/>
      <c r="B176" s="362" t="s">
        <v>209</v>
      </c>
      <c r="C176" s="429"/>
      <c r="D176" s="429"/>
      <c r="E176" s="429"/>
      <c r="G176" s="429"/>
      <c r="I176" s="397"/>
      <c r="J176" s="397"/>
    </row>
    <row r="177" s="5" customFormat="1" spans="1:10">
      <c r="A177" s="365"/>
      <c r="C177" s="429"/>
      <c r="D177" s="429"/>
      <c r="E177" s="429"/>
      <c r="G177" s="429"/>
      <c r="I177" s="397"/>
      <c r="J177" s="397"/>
    </row>
    <row r="178" s="5" customFormat="1" spans="1:10">
      <c r="A178" s="365" t="s">
        <v>42</v>
      </c>
      <c r="B178" s="5" t="s">
        <v>210</v>
      </c>
      <c r="C178" s="429"/>
      <c r="D178" s="429"/>
      <c r="E178" s="429"/>
      <c r="G178" s="429"/>
      <c r="I178" s="397"/>
      <c r="J178" s="397"/>
    </row>
    <row r="179" spans="2:2">
      <c r="B179" s="361" t="s">
        <v>211</v>
      </c>
    </row>
    <row r="180" spans="1:9">
      <c r="A180" s="372"/>
      <c r="B180" s="372"/>
      <c r="C180" s="380" t="s">
        <v>127</v>
      </c>
      <c r="D180" s="381"/>
      <c r="E180" s="382" t="s">
        <v>128</v>
      </c>
      <c r="F180" s="381"/>
      <c r="G180" s="380" t="s">
        <v>129</v>
      </c>
      <c r="I180" s="364">
        <f>'lamp ii lap realisasi kegiatan2'!F328</f>
        <v>127807099</v>
      </c>
    </row>
    <row r="181" spans="2:7">
      <c r="B181" s="361" t="s">
        <v>196</v>
      </c>
      <c r="C181" s="386">
        <f>10000000+51045999+4275000+1299000+2029000+4158100</f>
        <v>72807099</v>
      </c>
      <c r="D181" s="386"/>
      <c r="E181" s="386">
        <f>10000000+51045999+4275000+1299000+2029000+4158100</f>
        <v>72807099</v>
      </c>
      <c r="G181" s="386">
        <v>0</v>
      </c>
    </row>
    <row r="182" spans="2:7">
      <c r="B182" s="361" t="s">
        <v>197</v>
      </c>
      <c r="C182" s="430">
        <f>55000000</f>
        <v>55000000</v>
      </c>
      <c r="D182" s="431"/>
      <c r="E182" s="430">
        <f>55000000</f>
        <v>55000000</v>
      </c>
      <c r="F182" s="432"/>
      <c r="G182" s="430">
        <v>0</v>
      </c>
    </row>
    <row r="183" spans="3:7">
      <c r="C183" s="386">
        <f>SUM(C181:C182)</f>
        <v>127807099</v>
      </c>
      <c r="D183" s="386"/>
      <c r="E183" s="388">
        <f>SUM(E181:E182)</f>
        <v>127807099</v>
      </c>
      <c r="G183" s="386">
        <f>C183-E183</f>
        <v>0</v>
      </c>
    </row>
    <row r="184" spans="2:7">
      <c r="B184" s="362" t="s">
        <v>148</v>
      </c>
      <c r="C184" s="386"/>
      <c r="D184" s="386"/>
      <c r="E184" s="388"/>
      <c r="G184" s="386"/>
    </row>
    <row r="185" spans="2:7">
      <c r="B185" s="362" t="s">
        <v>212</v>
      </c>
      <c r="C185" s="386"/>
      <c r="D185" s="386"/>
      <c r="E185" s="388"/>
      <c r="G185" s="386"/>
    </row>
    <row r="186" spans="2:7">
      <c r="B186" s="362" t="s">
        <v>213</v>
      </c>
      <c r="C186" s="386"/>
      <c r="D186" s="386"/>
      <c r="E186" s="388"/>
      <c r="G186" s="386"/>
    </row>
    <row r="187" spans="2:7">
      <c r="B187" s="362" t="s">
        <v>214</v>
      </c>
      <c r="C187" s="386"/>
      <c r="D187" s="386"/>
      <c r="E187" s="388"/>
      <c r="G187" s="386"/>
    </row>
    <row r="188" ht="15.75" customHeight="1" spans="2:3">
      <c r="B188" s="404"/>
      <c r="C188" s="421"/>
    </row>
    <row r="189" s="5" customFormat="1" ht="16.5" customHeight="1" spans="1:10">
      <c r="A189" s="365" t="s">
        <v>215</v>
      </c>
      <c r="B189" s="5" t="s">
        <v>216</v>
      </c>
      <c r="C189" s="433"/>
      <c r="E189" s="433"/>
      <c r="F189" s="433"/>
      <c r="G189" s="433"/>
      <c r="I189" s="397"/>
      <c r="J189" s="397"/>
    </row>
    <row r="190" ht="17.25" customHeight="1" spans="2:2">
      <c r="B190" s="361" t="s">
        <v>217</v>
      </c>
    </row>
    <row r="191" spans="3:9">
      <c r="C191" s="380" t="s">
        <v>127</v>
      </c>
      <c r="D191" s="381"/>
      <c r="E191" s="382" t="s">
        <v>128</v>
      </c>
      <c r="F191" s="381"/>
      <c r="G191" s="380" t="s">
        <v>129</v>
      </c>
      <c r="I191" s="364">
        <f>'lamp ii lap realisasi kegiatan2'!F382</f>
        <v>39700000</v>
      </c>
    </row>
    <row r="192" spans="1:9">
      <c r="A192" s="372"/>
      <c r="B192" s="361" t="s">
        <v>196</v>
      </c>
      <c r="C192" s="386"/>
      <c r="D192" s="386"/>
      <c r="E192" s="386"/>
      <c r="G192" s="386">
        <f>C192-E192</f>
        <v>0</v>
      </c>
      <c r="I192" s="364">
        <f>[4]Sheet6!$I$485</f>
        <v>550073000</v>
      </c>
    </row>
    <row r="193" spans="2:7">
      <c r="B193" s="361" t="s">
        <v>197</v>
      </c>
      <c r="C193" s="436">
        <v>39700000</v>
      </c>
      <c r="D193" s="437"/>
      <c r="E193" s="436">
        <v>39700000</v>
      </c>
      <c r="F193" s="438"/>
      <c r="G193" s="439">
        <f t="shared" ref="G193:G194" si="10">C193-E193</f>
        <v>0</v>
      </c>
    </row>
    <row r="194" spans="3:7">
      <c r="C194" s="386">
        <f>SUM(C192:C193)</f>
        <v>39700000</v>
      </c>
      <c r="D194" s="386"/>
      <c r="E194" s="388">
        <f>SUM(E192:E193)</f>
        <v>39700000</v>
      </c>
      <c r="G194" s="386">
        <f t="shared" si="10"/>
        <v>0</v>
      </c>
    </row>
    <row r="195" ht="13.5" customHeight="1" spans="3:7">
      <c r="C195" s="421"/>
      <c r="E195" s="426"/>
      <c r="G195" s="421"/>
    </row>
    <row r="196" s="5" customFormat="1" ht="16.5" customHeight="1" spans="1:10">
      <c r="A196" s="365"/>
      <c r="B196" s="362" t="s">
        <v>148</v>
      </c>
      <c r="C196" s="440"/>
      <c r="E196" s="440"/>
      <c r="G196" s="440"/>
      <c r="I196" s="397"/>
      <c r="J196" s="397"/>
    </row>
    <row r="197" s="5" customFormat="1" ht="16.5" customHeight="1" spans="1:10">
      <c r="A197" s="365"/>
      <c r="B197" s="362" t="s">
        <v>218</v>
      </c>
      <c r="C197" s="440"/>
      <c r="E197" s="440"/>
      <c r="G197" s="440"/>
      <c r="I197" s="397"/>
      <c r="J197" s="397"/>
    </row>
    <row r="198" s="5" customFormat="1" ht="16.5" customHeight="1" spans="1:10">
      <c r="A198" s="365"/>
      <c r="C198" s="440"/>
      <c r="E198" s="440"/>
      <c r="G198" s="440"/>
      <c r="I198" s="397"/>
      <c r="J198" s="397"/>
    </row>
    <row r="199" s="5" customFormat="1" ht="16.5" customHeight="1" spans="1:10">
      <c r="A199" s="365" t="s">
        <v>219</v>
      </c>
      <c r="B199" s="5" t="s">
        <v>220</v>
      </c>
      <c r="C199" s="440"/>
      <c r="E199" s="440"/>
      <c r="G199" s="440"/>
      <c r="I199" s="397"/>
      <c r="J199" s="397"/>
    </row>
    <row r="200" ht="30" customHeight="1" spans="2:7">
      <c r="B200" s="387" t="s">
        <v>221</v>
      </c>
      <c r="C200" s="387"/>
      <c r="D200" s="387"/>
      <c r="E200" s="387"/>
      <c r="F200" s="387"/>
      <c r="G200" s="387"/>
    </row>
    <row r="201" spans="1:7">
      <c r="A201" s="372"/>
      <c r="B201" s="372"/>
      <c r="C201" s="380" t="s">
        <v>127</v>
      </c>
      <c r="D201" s="381"/>
      <c r="E201" s="382" t="s">
        <v>128</v>
      </c>
      <c r="F201" s="381"/>
      <c r="G201" s="380" t="s">
        <v>129</v>
      </c>
    </row>
    <row r="202" spans="2:7">
      <c r="B202" s="361" t="s">
        <v>196</v>
      </c>
      <c r="C202" s="441"/>
      <c r="D202" s="442"/>
      <c r="E202" s="443">
        <v>0</v>
      </c>
      <c r="G202" s="395">
        <f>C202-E202</f>
        <v>0</v>
      </c>
    </row>
    <row r="203" spans="2:7">
      <c r="B203" s="361" t="s">
        <v>222</v>
      </c>
      <c r="C203" s="441">
        <f>9400000+32400000</f>
        <v>41800000</v>
      </c>
      <c r="D203" s="442"/>
      <c r="E203" s="441">
        <v>32400000</v>
      </c>
      <c r="G203" s="395">
        <f>C203-E203</f>
        <v>9400000</v>
      </c>
    </row>
    <row r="204" spans="1:7">
      <c r="A204" s="371"/>
      <c r="C204" s="415">
        <f>SUM(C202:C203)</f>
        <v>41800000</v>
      </c>
      <c r="D204" s="444"/>
      <c r="E204" s="415">
        <f>SUM(E202:E203)</f>
        <v>32400000</v>
      </c>
      <c r="G204" s="415">
        <f>C204-E204</f>
        <v>9400000</v>
      </c>
    </row>
    <row r="205" ht="15" customHeight="1" spans="2:5">
      <c r="B205" s="425" t="s">
        <v>148</v>
      </c>
      <c r="C205" s="444"/>
      <c r="D205" s="444"/>
      <c r="E205" s="444"/>
    </row>
    <row r="206" s="5" customFormat="1" spans="1:10">
      <c r="A206" s="365"/>
      <c r="B206" s="362" t="s">
        <v>223</v>
      </c>
      <c r="C206" s="429"/>
      <c r="E206" s="429"/>
      <c r="G206" s="429"/>
      <c r="I206" s="397"/>
      <c r="J206" s="397"/>
    </row>
    <row r="207" s="5" customFormat="1" spans="1:10">
      <c r="A207" s="365"/>
      <c r="B207" s="362" t="s">
        <v>224</v>
      </c>
      <c r="C207" s="429"/>
      <c r="E207" s="429"/>
      <c r="G207" s="429"/>
      <c r="I207" s="397"/>
      <c r="J207" s="397"/>
    </row>
    <row r="208" s="5" customFormat="1" spans="1:10">
      <c r="A208" s="365"/>
      <c r="C208" s="429"/>
      <c r="E208" s="429"/>
      <c r="G208" s="429"/>
      <c r="I208" s="397"/>
      <c r="J208" s="397"/>
    </row>
    <row r="209" s="5" customFormat="1" spans="1:10">
      <c r="A209" s="365" t="s">
        <v>225</v>
      </c>
      <c r="B209" s="5" t="s">
        <v>226</v>
      </c>
      <c r="C209" s="429"/>
      <c r="E209" s="429"/>
      <c r="G209" s="429"/>
      <c r="I209" s="397"/>
      <c r="J209" s="397"/>
    </row>
    <row r="210" spans="2:2">
      <c r="B210" s="361" t="s">
        <v>227</v>
      </c>
    </row>
    <row r="211" spans="1:7">
      <c r="A211" s="372"/>
      <c r="B211" s="372"/>
      <c r="C211" s="380" t="s">
        <v>127</v>
      </c>
      <c r="D211" s="381"/>
      <c r="E211" s="382" t="s">
        <v>128</v>
      </c>
      <c r="F211" s="381"/>
      <c r="G211" s="380" t="s">
        <v>129</v>
      </c>
    </row>
    <row r="212" spans="2:2">
      <c r="B212" s="5" t="s">
        <v>195</v>
      </c>
    </row>
    <row r="213" spans="2:8">
      <c r="B213" s="361" t="s">
        <v>228</v>
      </c>
      <c r="C213" s="445">
        <v>46800000</v>
      </c>
      <c r="D213" s="388"/>
      <c r="E213" s="445">
        <v>46800000</v>
      </c>
      <c r="F213" s="388"/>
      <c r="G213" s="408">
        <f t="shared" ref="G213:G217" si="11">C213-E213</f>
        <v>0</v>
      </c>
      <c r="H213" s="386"/>
    </row>
    <row r="214" spans="2:11">
      <c r="B214" s="361" t="s">
        <v>229</v>
      </c>
      <c r="C214" s="445">
        <v>606877400</v>
      </c>
      <c r="D214" s="388"/>
      <c r="E214" s="445">
        <v>569329000</v>
      </c>
      <c r="F214" s="388"/>
      <c r="G214" s="408">
        <f t="shared" si="11"/>
        <v>37548400</v>
      </c>
      <c r="H214" s="386"/>
      <c r="I214" s="364">
        <f>C217+C230+C242+C245</f>
        <v>2484783092</v>
      </c>
      <c r="J214" s="364">
        <v>2484783092</v>
      </c>
      <c r="K214" s="364">
        <f>J214-I214</f>
        <v>0</v>
      </c>
    </row>
    <row r="215" spans="2:11">
      <c r="B215" s="446" t="s">
        <v>230</v>
      </c>
      <c r="C215" s="445">
        <v>42022992</v>
      </c>
      <c r="D215" s="388"/>
      <c r="E215" s="445">
        <v>39481620</v>
      </c>
      <c r="F215" s="388"/>
      <c r="G215" s="388">
        <f t="shared" si="11"/>
        <v>2541372</v>
      </c>
      <c r="H215" s="386"/>
      <c r="I215" s="364">
        <f>E217+E230+E242+E245</f>
        <v>1792180051</v>
      </c>
      <c r="J215" s="364">
        <v>1792180051</v>
      </c>
      <c r="K215" s="364">
        <f>J215-I215</f>
        <v>0</v>
      </c>
    </row>
    <row r="216" spans="2:8">
      <c r="B216" s="361" t="s">
        <v>231</v>
      </c>
      <c r="C216" s="445">
        <v>61047780</v>
      </c>
      <c r="D216" s="388"/>
      <c r="E216" s="445">
        <v>61047780</v>
      </c>
      <c r="F216" s="388"/>
      <c r="G216" s="392">
        <f t="shared" si="11"/>
        <v>0</v>
      </c>
      <c r="H216" s="386"/>
    </row>
    <row r="217" spans="3:8">
      <c r="C217" s="382">
        <f>SUM(C213:C216)</f>
        <v>756748172</v>
      </c>
      <c r="D217" s="447"/>
      <c r="E217" s="382">
        <f>SUM(E213:E216)</f>
        <v>716658400</v>
      </c>
      <c r="F217" s="388"/>
      <c r="G217" s="382">
        <f t="shared" si="11"/>
        <v>40089772</v>
      </c>
      <c r="H217" s="386"/>
    </row>
    <row r="218" spans="2:8">
      <c r="B218" s="362" t="s">
        <v>148</v>
      </c>
      <c r="C218" s="386"/>
      <c r="D218" s="386"/>
      <c r="E218" s="388"/>
      <c r="F218" s="386"/>
      <c r="G218" s="386"/>
      <c r="H218" s="386"/>
    </row>
    <row r="219" spans="2:8">
      <c r="B219" s="362" t="s">
        <v>232</v>
      </c>
      <c r="C219" s="386"/>
      <c r="D219" s="386"/>
      <c r="E219" s="388"/>
      <c r="F219" s="386"/>
      <c r="G219" s="386"/>
      <c r="H219" s="386"/>
    </row>
    <row r="220" spans="2:8">
      <c r="B220" s="362" t="s">
        <v>233</v>
      </c>
      <c r="C220" s="386"/>
      <c r="D220" s="386"/>
      <c r="E220" s="388"/>
      <c r="F220" s="386"/>
      <c r="G220" s="386"/>
      <c r="H220" s="386"/>
    </row>
    <row r="221" spans="2:8">
      <c r="B221" s="5"/>
      <c r="C221" s="386"/>
      <c r="D221" s="386"/>
      <c r="E221" s="388"/>
      <c r="F221" s="386"/>
      <c r="G221" s="386"/>
      <c r="H221" s="386"/>
    </row>
    <row r="222" spans="2:8">
      <c r="B222" s="5" t="s">
        <v>196</v>
      </c>
      <c r="C222" s="386"/>
      <c r="D222" s="386"/>
      <c r="E222" s="388"/>
      <c r="F222" s="386"/>
      <c r="G222" s="386"/>
      <c r="H222" s="386"/>
    </row>
    <row r="223" spans="2:8">
      <c r="B223" s="361" t="s">
        <v>234</v>
      </c>
      <c r="C223" s="448">
        <f>12381748+5687136+25410000+2500000+4000000+1785344+700000+3886998+1195000+3795000+6346000+5417000+1289600+139113+11800750+3000000+8468100+1790500+1543500+33545999+4275000+1239000+1849000+3978100</f>
        <v>146022888</v>
      </c>
      <c r="D223" s="386"/>
      <c r="E223" s="390">
        <f>11891000+5600000+25410000+2500000+4000000+1785000+1195000+3795000+6346000+5417000+1289600+139000+11800750+3000000+8448000+1790000+1543500+33545999+4275000+1239000+1849000+3978100</f>
        <v>140836949</v>
      </c>
      <c r="F223" s="386"/>
      <c r="G223" s="386">
        <f t="shared" ref="G223:G230" si="12">C223-E223</f>
        <v>5185939</v>
      </c>
      <c r="H223" s="386"/>
    </row>
    <row r="224" spans="2:8">
      <c r="B224" s="361" t="s">
        <v>235</v>
      </c>
      <c r="C224" s="448">
        <f>16200000+2700000+2800000+1350000+2150000+3600000+5750000+6150000+1000000+54000000+1650000</f>
        <v>97350000</v>
      </c>
      <c r="D224" s="386"/>
      <c r="E224" s="390">
        <f>15600000+2700000+2800000+2150000+3600000+5750000+6150000+1000000+54000000+1650000</f>
        <v>95400000</v>
      </c>
      <c r="F224" s="386"/>
      <c r="G224" s="386">
        <f t="shared" si="12"/>
        <v>1950000</v>
      </c>
      <c r="H224" s="386"/>
    </row>
    <row r="225" spans="2:8">
      <c r="B225" s="359" t="s">
        <v>236</v>
      </c>
      <c r="C225" s="448">
        <f>1300000+60000+180000+180000+500000</f>
        <v>2220000</v>
      </c>
      <c r="D225" s="386"/>
      <c r="E225" s="390">
        <f>1300000+500000+180000+180000+60000</f>
        <v>2220000</v>
      </c>
      <c r="F225" s="386"/>
      <c r="G225" s="386">
        <f t="shared" si="12"/>
        <v>0</v>
      </c>
      <c r="H225" s="386"/>
    </row>
    <row r="226" spans="2:8">
      <c r="B226" s="361" t="s">
        <v>237</v>
      </c>
      <c r="C226" s="448">
        <f>500000+17500000</f>
        <v>18000000</v>
      </c>
      <c r="D226" s="386"/>
      <c r="E226" s="448">
        <f>500000+17500000</f>
        <v>18000000</v>
      </c>
      <c r="F226" s="386"/>
      <c r="G226" s="386">
        <f t="shared" si="12"/>
        <v>0</v>
      </c>
      <c r="H226" s="386"/>
    </row>
    <row r="227" spans="2:8">
      <c r="B227" s="361" t="s">
        <v>238</v>
      </c>
      <c r="C227" s="448">
        <f>4540000+2988900+1000000+2800000</f>
        <v>11328900</v>
      </c>
      <c r="D227" s="386"/>
      <c r="E227" s="390">
        <f>2608802+2988900+7500+2152500</f>
        <v>7757702</v>
      </c>
      <c r="F227" s="386"/>
      <c r="G227" s="386">
        <f t="shared" si="12"/>
        <v>3571198</v>
      </c>
      <c r="H227" s="386"/>
    </row>
    <row r="228" spans="2:8">
      <c r="B228" s="361" t="s">
        <v>239</v>
      </c>
      <c r="C228" s="448">
        <f>300000+1139000+6408800+10000000</f>
        <v>17847800</v>
      </c>
      <c r="D228" s="386"/>
      <c r="E228" s="390">
        <f>300000+5900000+10000000</f>
        <v>16200000</v>
      </c>
      <c r="F228" s="386"/>
      <c r="G228" s="386">
        <f t="shared" si="12"/>
        <v>1647800</v>
      </c>
      <c r="H228" s="386"/>
    </row>
    <row r="229" ht="26" spans="2:8">
      <c r="B229" s="446" t="s">
        <v>240</v>
      </c>
      <c r="C229" s="448">
        <f>6320000+3000000</f>
        <v>9320000</v>
      </c>
      <c r="D229" s="386"/>
      <c r="E229" s="448">
        <f>6320000+3000000</f>
        <v>9320000</v>
      </c>
      <c r="F229" s="386"/>
      <c r="G229" s="393">
        <f t="shared" si="12"/>
        <v>0</v>
      </c>
      <c r="H229" s="386"/>
    </row>
    <row r="230" spans="3:9">
      <c r="C230" s="415">
        <f>SUM(C223:C229)</f>
        <v>302089588</v>
      </c>
      <c r="D230" s="449"/>
      <c r="E230" s="382">
        <f>SUM(E223:E229)</f>
        <v>289734651</v>
      </c>
      <c r="F230" s="386"/>
      <c r="G230" s="415">
        <f t="shared" si="12"/>
        <v>12354937</v>
      </c>
      <c r="H230" s="386"/>
      <c r="I230" s="364">
        <f>C230+C242+C245+C217</f>
        <v>2484783092</v>
      </c>
    </row>
    <row r="231" spans="2:8">
      <c r="B231" s="362"/>
      <c r="C231" s="386"/>
      <c r="D231" s="386"/>
      <c r="E231" s="388"/>
      <c r="F231" s="386"/>
      <c r="G231" s="386"/>
      <c r="H231" s="386"/>
    </row>
    <row r="232" spans="2:9">
      <c r="B232" s="5" t="s">
        <v>197</v>
      </c>
      <c r="C232" s="386"/>
      <c r="D232" s="386"/>
      <c r="E232" s="388"/>
      <c r="F232" s="386"/>
      <c r="G232" s="386"/>
      <c r="H232" s="386"/>
      <c r="I232" s="364">
        <f>2645241405</f>
        <v>2645241405</v>
      </c>
    </row>
    <row r="233" spans="2:12">
      <c r="B233" s="361" t="s">
        <v>241</v>
      </c>
      <c r="C233" s="385"/>
      <c r="E233" s="408"/>
      <c r="G233" s="408">
        <f>C233-E233</f>
        <v>0</v>
      </c>
      <c r="H233" s="386"/>
      <c r="I233" s="453">
        <f>I230-I232</f>
        <v>-160458313</v>
      </c>
      <c r="J233" s="448"/>
      <c r="K233" s="454"/>
      <c r="L233" s="390"/>
    </row>
    <row r="234" spans="2:12">
      <c r="B234" s="361" t="s">
        <v>242</v>
      </c>
      <c r="C234" s="386">
        <f>3000000+6946000+4379000+265000+150000+30000000</f>
        <v>44740000</v>
      </c>
      <c r="D234" s="386"/>
      <c r="E234" s="386">
        <f>3000000+6946000+30000000</f>
        <v>39946000</v>
      </c>
      <c r="F234" s="386"/>
      <c r="G234" s="386">
        <f t="shared" ref="G234:G242" si="13">C234-E234</f>
        <v>4794000</v>
      </c>
      <c r="H234" s="386"/>
      <c r="I234" s="435"/>
      <c r="J234" s="448"/>
      <c r="K234" s="454"/>
      <c r="L234" s="390"/>
    </row>
    <row r="235" spans="2:12">
      <c r="B235" s="361" t="s">
        <v>243</v>
      </c>
      <c r="C235" s="385"/>
      <c r="E235" s="408"/>
      <c r="G235" s="408">
        <f t="shared" si="13"/>
        <v>0</v>
      </c>
      <c r="H235" s="386"/>
      <c r="I235" s="455">
        <f>E245+E242+E230+E217</f>
        <v>1792180051</v>
      </c>
      <c r="J235" s="448"/>
      <c r="K235" s="454"/>
      <c r="L235" s="390"/>
    </row>
    <row r="236" spans="2:12">
      <c r="B236" s="361" t="s">
        <v>244</v>
      </c>
      <c r="C236" s="386">
        <f>9561600+18750000+100695000+100459000</f>
        <v>229465600</v>
      </c>
      <c r="D236" s="386"/>
      <c r="E236" s="386">
        <f>9550000+12750000</f>
        <v>22300000</v>
      </c>
      <c r="F236" s="386"/>
      <c r="G236" s="386">
        <f t="shared" si="13"/>
        <v>207165600</v>
      </c>
      <c r="H236" s="386"/>
      <c r="I236" s="435"/>
      <c r="J236" s="448"/>
      <c r="K236" s="454"/>
      <c r="L236" s="390"/>
    </row>
    <row r="237" spans="2:12">
      <c r="B237" s="361" t="s">
        <v>245</v>
      </c>
      <c r="C237" s="386">
        <f>212565000+92229730+135586000+186065000+40788000+209179550</f>
        <v>876413280</v>
      </c>
      <c r="D237" s="386"/>
      <c r="E237" s="388">
        <f>212565000+92225000+135586000+186065000</f>
        <v>626441000</v>
      </c>
      <c r="F237" s="386"/>
      <c r="G237" s="386">
        <f t="shared" si="13"/>
        <v>249972280</v>
      </c>
      <c r="H237" s="386"/>
      <c r="I237" s="456">
        <f>2598510995</f>
        <v>2598510995</v>
      </c>
      <c r="J237" s="448"/>
      <c r="K237" s="454"/>
      <c r="L237" s="457"/>
    </row>
    <row r="238" spans="2:12">
      <c r="B238" s="361" t="s">
        <v>246</v>
      </c>
      <c r="C238" s="385"/>
      <c r="E238" s="408"/>
      <c r="G238" s="408">
        <f t="shared" si="13"/>
        <v>0</v>
      </c>
      <c r="H238" s="386"/>
      <c r="I238" s="455">
        <f>I237-I235</f>
        <v>806330944</v>
      </c>
      <c r="J238" s="448"/>
      <c r="K238" s="454"/>
      <c r="L238" s="390"/>
    </row>
    <row r="239" spans="2:8">
      <c r="B239" s="361" t="s">
        <v>247</v>
      </c>
      <c r="C239" s="385">
        <f>26840000</f>
        <v>26840000</v>
      </c>
      <c r="E239" s="408"/>
      <c r="G239" s="408">
        <f t="shared" si="13"/>
        <v>26840000</v>
      </c>
      <c r="H239" s="386"/>
    </row>
    <row r="240" spans="2:8">
      <c r="B240" s="361" t="s">
        <v>248</v>
      </c>
      <c r="C240" s="385">
        <f>13345452+39700000</f>
        <v>53045452</v>
      </c>
      <c r="E240" s="408">
        <v>39700000</v>
      </c>
      <c r="G240" s="408">
        <f t="shared" si="13"/>
        <v>13345452</v>
      </c>
      <c r="H240" s="386"/>
    </row>
    <row r="241" spans="2:8">
      <c r="B241" s="361" t="s">
        <v>249</v>
      </c>
      <c r="C241" s="450">
        <f>128641000+25000000</f>
        <v>153641000</v>
      </c>
      <c r="D241" s="449"/>
      <c r="E241" s="392">
        <f>25000000</f>
        <v>25000000</v>
      </c>
      <c r="F241" s="386"/>
      <c r="G241" s="393">
        <f t="shared" si="13"/>
        <v>128641000</v>
      </c>
      <c r="H241" s="386"/>
    </row>
    <row r="242" spans="3:8">
      <c r="C242" s="415">
        <f>SUM(C233:C241)</f>
        <v>1384145332</v>
      </c>
      <c r="D242" s="449"/>
      <c r="E242" s="382">
        <f>SUM(E233:E241)</f>
        <v>753387000</v>
      </c>
      <c r="F242" s="386"/>
      <c r="G242" s="415">
        <f t="shared" si="13"/>
        <v>630758332</v>
      </c>
      <c r="H242" s="386"/>
    </row>
    <row r="243" spans="2:8">
      <c r="B243" s="451" t="s">
        <v>250</v>
      </c>
      <c r="C243" s="386"/>
      <c r="D243" s="386"/>
      <c r="E243" s="388"/>
      <c r="F243" s="386"/>
      <c r="G243" s="386"/>
      <c r="H243" s="386"/>
    </row>
    <row r="244" spans="2:8">
      <c r="B244" s="371" t="s">
        <v>250</v>
      </c>
      <c r="C244" s="450">
        <v>41800000</v>
      </c>
      <c r="D244" s="449"/>
      <c r="E244" s="450">
        <v>32400000</v>
      </c>
      <c r="F244" s="386"/>
      <c r="G244" s="393">
        <f t="shared" ref="G244:G245" si="14">C244-E244</f>
        <v>9400000</v>
      </c>
      <c r="H244" s="386"/>
    </row>
    <row r="245" spans="2:8">
      <c r="B245" s="372"/>
      <c r="C245" s="415">
        <f>C244</f>
        <v>41800000</v>
      </c>
      <c r="D245" s="449"/>
      <c r="E245" s="415">
        <f>E244</f>
        <v>32400000</v>
      </c>
      <c r="F245" s="386"/>
      <c r="G245" s="415">
        <f t="shared" si="14"/>
        <v>9400000</v>
      </c>
      <c r="H245" s="386"/>
    </row>
    <row r="246" ht="11.25" customHeight="1" spans="2:8">
      <c r="B246" s="372"/>
      <c r="C246" s="386"/>
      <c r="D246" s="386"/>
      <c r="E246" s="388"/>
      <c r="F246" s="386"/>
      <c r="G246" s="386"/>
      <c r="H246" s="386"/>
    </row>
    <row r="247" spans="1:8">
      <c r="A247" s="365" t="s">
        <v>251</v>
      </c>
      <c r="B247" s="5" t="s">
        <v>252</v>
      </c>
      <c r="C247" s="386"/>
      <c r="D247" s="386"/>
      <c r="E247" s="388"/>
      <c r="F247" s="386"/>
      <c r="G247" s="386"/>
      <c r="H247" s="386"/>
    </row>
    <row r="248" spans="1:8">
      <c r="A248" s="372"/>
      <c r="B248" s="372"/>
      <c r="C248" s="380" t="s">
        <v>127</v>
      </c>
      <c r="D248" s="381"/>
      <c r="E248" s="382" t="s">
        <v>128</v>
      </c>
      <c r="F248" s="381"/>
      <c r="G248" s="380" t="s">
        <v>129</v>
      </c>
      <c r="H248" s="386"/>
    </row>
    <row r="249" spans="2:8">
      <c r="B249" s="5" t="s">
        <v>253</v>
      </c>
      <c r="C249" s="386"/>
      <c r="D249" s="386"/>
      <c r="E249" s="388"/>
      <c r="F249" s="386"/>
      <c r="G249" s="386"/>
      <c r="H249" s="386"/>
    </row>
    <row r="250" ht="31.5" customHeight="1" spans="2:7">
      <c r="B250" s="446" t="s">
        <v>254</v>
      </c>
      <c r="C250" s="386">
        <v>828255956</v>
      </c>
      <c r="D250" s="386"/>
      <c r="E250" s="386">
        <v>785057102</v>
      </c>
      <c r="F250" s="386"/>
      <c r="G250" s="386">
        <f>C250-E250</f>
        <v>43198854</v>
      </c>
    </row>
    <row r="251" spans="2:7">
      <c r="B251" s="361" t="s">
        <v>255</v>
      </c>
      <c r="C251" s="386">
        <v>46359400</v>
      </c>
      <c r="D251" s="386"/>
      <c r="E251" s="388">
        <v>37707500</v>
      </c>
      <c r="F251" s="386"/>
      <c r="G251" s="386">
        <f t="shared" ref="G251:G255" si="15">C251-E251</f>
        <v>8651900</v>
      </c>
    </row>
    <row r="252" ht="27" customHeight="1" spans="2:7">
      <c r="B252" s="446" t="s">
        <v>256</v>
      </c>
      <c r="C252" s="386">
        <v>10522342</v>
      </c>
      <c r="D252" s="386"/>
      <c r="E252" s="388">
        <v>4585000</v>
      </c>
      <c r="F252" s="386"/>
      <c r="G252" s="386">
        <f t="shared" si="15"/>
        <v>5937342</v>
      </c>
    </row>
    <row r="253" ht="27.75" customHeight="1" spans="2:7">
      <c r="B253" s="446" t="s">
        <v>257</v>
      </c>
      <c r="C253" s="395">
        <v>42482463</v>
      </c>
      <c r="D253" s="395"/>
      <c r="E253" s="394">
        <v>42482350</v>
      </c>
      <c r="F253" s="395"/>
      <c r="G253" s="395">
        <f t="shared" si="15"/>
        <v>113</v>
      </c>
    </row>
    <row r="254" spans="1:7">
      <c r="A254" s="371"/>
      <c r="B254" s="361" t="s">
        <v>258</v>
      </c>
      <c r="C254" s="393">
        <v>2800000</v>
      </c>
      <c r="D254" s="395"/>
      <c r="E254" s="392">
        <v>2152500</v>
      </c>
      <c r="F254" s="395"/>
      <c r="G254" s="393">
        <f t="shared" si="15"/>
        <v>647500</v>
      </c>
    </row>
    <row r="255" spans="1:10">
      <c r="A255" s="371"/>
      <c r="C255" s="452">
        <f>SUM(C250:C254)</f>
        <v>930420161</v>
      </c>
      <c r="E255" s="416">
        <f>SUM(E250:E254)</f>
        <v>871984452</v>
      </c>
      <c r="G255" s="415">
        <f t="shared" si="15"/>
        <v>58435709</v>
      </c>
      <c r="I255" s="364">
        <f>C255+C278+C292+C306+C323</f>
        <v>2484783092</v>
      </c>
      <c r="J255" s="364">
        <f>E255+E278+E292+E306+E323</f>
        <v>1792180051</v>
      </c>
    </row>
    <row r="256" ht="15" customHeight="1" spans="1:3">
      <c r="A256" s="371"/>
      <c r="C256" s="444"/>
    </row>
    <row r="257" ht="18.75" customHeight="1" spans="2:9">
      <c r="B257" s="362" t="s">
        <v>148</v>
      </c>
      <c r="C257" s="458"/>
      <c r="D257" s="458"/>
      <c r="E257" s="459"/>
      <c r="F257" s="458"/>
      <c r="G257" s="458"/>
      <c r="H257" s="5"/>
      <c r="I257" s="464"/>
    </row>
    <row r="258" ht="18.75" customHeight="1" spans="2:9">
      <c r="B258" s="362" t="s">
        <v>259</v>
      </c>
      <c r="C258" s="458"/>
      <c r="D258" s="458"/>
      <c r="E258" s="459"/>
      <c r="F258" s="458"/>
      <c r="G258" s="458"/>
      <c r="H258" s="5"/>
      <c r="I258" s="464"/>
    </row>
    <row r="259" ht="18.75" customHeight="1" spans="2:9">
      <c r="B259" s="362" t="s">
        <v>260</v>
      </c>
      <c r="C259" s="458"/>
      <c r="D259" s="458"/>
      <c r="E259" s="459"/>
      <c r="F259" s="458"/>
      <c r="G259" s="458"/>
      <c r="H259" s="5"/>
      <c r="I259" s="464"/>
    </row>
    <row r="260" ht="18.75" customHeight="1" spans="2:9">
      <c r="B260" s="362" t="s">
        <v>261</v>
      </c>
      <c r="C260" s="458"/>
      <c r="D260" s="458"/>
      <c r="E260" s="459"/>
      <c r="F260" s="458"/>
      <c r="G260" s="458"/>
      <c r="H260" s="5"/>
      <c r="I260" s="464"/>
    </row>
    <row r="261" ht="18.75" customHeight="1" spans="2:9">
      <c r="B261" s="362" t="s">
        <v>262</v>
      </c>
      <c r="C261" s="458"/>
      <c r="D261" s="458"/>
      <c r="E261" s="459"/>
      <c r="F261" s="458"/>
      <c r="G261" s="458"/>
      <c r="H261" s="5"/>
      <c r="I261" s="464"/>
    </row>
    <row r="262" ht="18.75" customHeight="1" spans="2:9">
      <c r="B262" s="362" t="s">
        <v>263</v>
      </c>
      <c r="C262" s="458"/>
      <c r="D262" s="458"/>
      <c r="E262" s="459"/>
      <c r="F262" s="458"/>
      <c r="G262" s="458"/>
      <c r="H262" s="5"/>
      <c r="I262" s="464"/>
    </row>
    <row r="263" ht="18.75" customHeight="1" spans="2:9">
      <c r="B263" s="361" t="s">
        <v>264</v>
      </c>
      <c r="C263" s="386"/>
      <c r="D263" s="386"/>
      <c r="E263" s="388"/>
      <c r="F263" s="386"/>
      <c r="G263" s="386"/>
      <c r="H263" s="5"/>
      <c r="I263" s="464"/>
    </row>
    <row r="264" ht="18.75" customHeight="1" spans="2:9">
      <c r="B264" s="387" t="s">
        <v>265</v>
      </c>
      <c r="C264" s="387"/>
      <c r="D264" s="387"/>
      <c r="E264" s="387"/>
      <c r="F264" s="387"/>
      <c r="G264" s="387"/>
      <c r="H264" s="5"/>
      <c r="I264" s="464"/>
    </row>
    <row r="265" ht="18.75" customHeight="1" spans="2:9">
      <c r="B265" s="361" t="s">
        <v>266</v>
      </c>
      <c r="C265" s="386"/>
      <c r="D265" s="386"/>
      <c r="E265" s="388"/>
      <c r="F265" s="386"/>
      <c r="G265" s="386"/>
      <c r="H265" s="5"/>
      <c r="I265" s="464"/>
    </row>
    <row r="266" ht="18.75" customHeight="1" spans="2:9">
      <c r="B266" s="387" t="s">
        <v>267</v>
      </c>
      <c r="C266" s="387"/>
      <c r="D266" s="387"/>
      <c r="E266" s="387"/>
      <c r="F266" s="387"/>
      <c r="G266" s="387"/>
      <c r="H266" s="5"/>
      <c r="I266" s="464"/>
    </row>
    <row r="267" ht="18.75" customHeight="1" spans="2:9">
      <c r="B267" s="362" t="s">
        <v>268</v>
      </c>
      <c r="C267" s="458"/>
      <c r="D267" s="458"/>
      <c r="E267" s="459"/>
      <c r="F267" s="458"/>
      <c r="G267" s="458"/>
      <c r="H267" s="5"/>
      <c r="I267" s="464"/>
    </row>
    <row r="268" ht="18.75" customHeight="1" spans="2:9">
      <c r="B268" s="5"/>
      <c r="C268" s="458"/>
      <c r="D268" s="458"/>
      <c r="E268" s="459"/>
      <c r="F268" s="458"/>
      <c r="G268" s="458"/>
      <c r="H268" s="5"/>
      <c r="I268" s="464"/>
    </row>
    <row r="269" ht="18.75" customHeight="1" spans="2:9">
      <c r="B269" s="5" t="s">
        <v>269</v>
      </c>
      <c r="C269" s="458"/>
      <c r="D269" s="458"/>
      <c r="E269" s="459"/>
      <c r="F269" s="458"/>
      <c r="G269" s="460"/>
      <c r="H269" s="5"/>
      <c r="I269" s="464"/>
    </row>
    <row r="270" spans="2:7">
      <c r="B270" s="361" t="s">
        <v>270</v>
      </c>
      <c r="C270" s="386">
        <v>3000000</v>
      </c>
      <c r="D270" s="444"/>
      <c r="E270" s="388">
        <v>3000000</v>
      </c>
      <c r="F270" s="386"/>
      <c r="G270" s="395">
        <f t="shared" ref="G270:G278" si="16">C270-E270</f>
        <v>0</v>
      </c>
    </row>
    <row r="271" spans="2:7">
      <c r="B271" s="361" t="s">
        <v>271</v>
      </c>
      <c r="C271" s="386">
        <v>83922100</v>
      </c>
      <c r="D271" s="386"/>
      <c r="E271" s="388">
        <v>83901500</v>
      </c>
      <c r="F271" s="386"/>
      <c r="G271" s="395">
        <f t="shared" si="16"/>
        <v>20600</v>
      </c>
    </row>
    <row r="272" spans="2:7">
      <c r="B272" s="361" t="s">
        <v>272</v>
      </c>
      <c r="C272" s="386">
        <v>674179730</v>
      </c>
      <c r="D272" s="386"/>
      <c r="E272" s="388">
        <v>633387000</v>
      </c>
      <c r="F272" s="386"/>
      <c r="G272" s="395">
        <f t="shared" si="16"/>
        <v>40792730</v>
      </c>
    </row>
    <row r="273" spans="2:7">
      <c r="B273" s="361" t="s">
        <v>273</v>
      </c>
      <c r="C273" s="386"/>
      <c r="D273" s="386"/>
      <c r="E273" s="388"/>
      <c r="F273" s="386"/>
      <c r="G273" s="395">
        <f t="shared" si="16"/>
        <v>0</v>
      </c>
    </row>
    <row r="274" spans="2:7">
      <c r="B274" s="361" t="s">
        <v>274</v>
      </c>
      <c r="C274" s="394"/>
      <c r="D274" s="386"/>
      <c r="E274" s="394"/>
      <c r="F274" s="386"/>
      <c r="G274" s="385">
        <f t="shared" si="16"/>
        <v>0</v>
      </c>
    </row>
    <row r="275" ht="26" spans="2:7">
      <c r="B275" s="446" t="s">
        <v>275</v>
      </c>
      <c r="C275" s="386"/>
      <c r="D275" s="386"/>
      <c r="E275" s="388"/>
      <c r="F275" s="386"/>
      <c r="G275" s="395">
        <f t="shared" si="16"/>
        <v>0</v>
      </c>
    </row>
    <row r="276" spans="2:7">
      <c r="B276" s="361" t="s">
        <v>276</v>
      </c>
      <c r="C276" s="394">
        <v>583954002</v>
      </c>
      <c r="D276" s="386"/>
      <c r="E276" s="394"/>
      <c r="F276" s="386"/>
      <c r="G276" s="395">
        <f t="shared" si="16"/>
        <v>583954002</v>
      </c>
    </row>
    <row r="277" spans="1:7">
      <c r="A277" s="371"/>
      <c r="B277" s="361" t="s">
        <v>277</v>
      </c>
      <c r="C277" s="395"/>
      <c r="E277" s="461"/>
      <c r="G277" s="385">
        <f t="shared" si="16"/>
        <v>0</v>
      </c>
    </row>
    <row r="278" spans="1:9">
      <c r="A278" s="371"/>
      <c r="B278" s="371"/>
      <c r="C278" s="415">
        <f>SUM(C270:C277)</f>
        <v>1345055832</v>
      </c>
      <c r="D278" s="386"/>
      <c r="E278" s="382">
        <f>SUM(E270:E277)</f>
        <v>720288500</v>
      </c>
      <c r="F278" s="386"/>
      <c r="G278" s="415">
        <f t="shared" si="16"/>
        <v>624767332</v>
      </c>
      <c r="I278" s="364">
        <f>[4]Sheet6!$J$242</f>
        <v>6902740</v>
      </c>
    </row>
    <row r="279" spans="1:5">
      <c r="A279" s="371"/>
      <c r="C279" s="444"/>
      <c r="E279" s="462"/>
    </row>
    <row r="280" spans="2:7">
      <c r="B280" s="362" t="s">
        <v>148</v>
      </c>
      <c r="C280" s="459"/>
      <c r="D280" s="459"/>
      <c r="E280" s="459"/>
      <c r="F280" s="459"/>
      <c r="G280" s="459"/>
    </row>
    <row r="281" spans="2:7">
      <c r="B281" s="362" t="s">
        <v>278</v>
      </c>
      <c r="C281" s="459"/>
      <c r="D281" s="459"/>
      <c r="E281" s="459"/>
      <c r="F281" s="459"/>
      <c r="G281" s="459"/>
    </row>
    <row r="282" spans="2:7">
      <c r="B282" s="362" t="s">
        <v>279</v>
      </c>
      <c r="C282" s="459"/>
      <c r="D282" s="459"/>
      <c r="E282" s="459"/>
      <c r="F282" s="459"/>
      <c r="G282" s="459"/>
    </row>
    <row r="283" spans="2:7">
      <c r="B283" s="362" t="s">
        <v>280</v>
      </c>
      <c r="C283" s="459"/>
      <c r="D283" s="459"/>
      <c r="E283" s="459"/>
      <c r="F283" s="459"/>
      <c r="G283" s="459"/>
    </row>
    <row r="284" spans="2:7">
      <c r="B284" s="362" t="s">
        <v>281</v>
      </c>
      <c r="C284" s="459"/>
      <c r="D284" s="459"/>
      <c r="E284" s="459"/>
      <c r="F284" s="459"/>
      <c r="G284" s="459"/>
    </row>
    <row r="285" spans="2:7">
      <c r="B285" s="362" t="s">
        <v>282</v>
      </c>
      <c r="C285" s="459"/>
      <c r="D285" s="459"/>
      <c r="E285" s="459"/>
      <c r="F285" s="459"/>
      <c r="G285" s="459"/>
    </row>
    <row r="286" spans="2:7">
      <c r="B286" s="5"/>
      <c r="C286" s="459"/>
      <c r="D286" s="459"/>
      <c r="E286" s="459"/>
      <c r="F286" s="459"/>
      <c r="G286" s="459"/>
    </row>
    <row r="287" spans="2:7">
      <c r="B287" s="5" t="s">
        <v>283</v>
      </c>
      <c r="C287" s="459"/>
      <c r="D287" s="459"/>
      <c r="E287" s="459"/>
      <c r="F287" s="459"/>
      <c r="G287" s="459"/>
    </row>
    <row r="288" ht="28.5" customHeight="1" spans="2:7">
      <c r="B288" s="446" t="s">
        <v>284</v>
      </c>
      <c r="C288" s="394"/>
      <c r="D288" s="386"/>
      <c r="E288" s="394"/>
      <c r="F288" s="386"/>
      <c r="G288" s="395">
        <f t="shared" ref="G288:G292" si="17">C288-E288</f>
        <v>0</v>
      </c>
    </row>
    <row r="289" spans="1:7">
      <c r="A289" s="371"/>
      <c r="B289" s="361" t="s">
        <v>285</v>
      </c>
      <c r="C289" s="394">
        <v>116045999</v>
      </c>
      <c r="D289" s="386"/>
      <c r="E289" s="394">
        <v>116045999</v>
      </c>
      <c r="F289" s="386"/>
      <c r="G289" s="395">
        <f t="shared" si="17"/>
        <v>0</v>
      </c>
    </row>
    <row r="290" spans="1:7">
      <c r="A290" s="371"/>
      <c r="B290" s="361" t="s">
        <v>286</v>
      </c>
      <c r="C290" s="386">
        <v>5574000</v>
      </c>
      <c r="D290" s="386"/>
      <c r="E290" s="386">
        <v>5574000</v>
      </c>
      <c r="F290" s="386"/>
      <c r="G290" s="408">
        <f t="shared" si="17"/>
        <v>0</v>
      </c>
    </row>
    <row r="291" spans="1:7">
      <c r="A291" s="371"/>
      <c r="B291" s="361" t="s">
        <v>287</v>
      </c>
      <c r="C291" s="393">
        <v>6187100</v>
      </c>
      <c r="D291" s="386"/>
      <c r="E291" s="393">
        <v>6187100</v>
      </c>
      <c r="F291" s="386"/>
      <c r="G291" s="393">
        <f t="shared" si="17"/>
        <v>0</v>
      </c>
    </row>
    <row r="292" spans="1:7">
      <c r="A292" s="371"/>
      <c r="C292" s="415">
        <f>SUM(C288:C291)</f>
        <v>127807099</v>
      </c>
      <c r="D292" s="386"/>
      <c r="E292" s="382">
        <f>SUM(E288:E291)</f>
        <v>127807099</v>
      </c>
      <c r="F292" s="386"/>
      <c r="G292" s="415">
        <f t="shared" si="17"/>
        <v>0</v>
      </c>
    </row>
    <row r="293" spans="1:7">
      <c r="A293" s="371"/>
      <c r="B293" s="362" t="s">
        <v>148</v>
      </c>
      <c r="C293" s="386"/>
      <c r="D293" s="386"/>
      <c r="E293" s="386"/>
      <c r="F293" s="386"/>
      <c r="G293" s="386"/>
    </row>
    <row r="294" spans="1:7">
      <c r="A294" s="371"/>
      <c r="B294" s="362" t="s">
        <v>288</v>
      </c>
      <c r="C294" s="386"/>
      <c r="D294" s="386"/>
      <c r="E294" s="386"/>
      <c r="F294" s="386"/>
      <c r="G294" s="386"/>
    </row>
    <row r="295" spans="1:7">
      <c r="A295" s="371"/>
      <c r="B295" s="362" t="s">
        <v>289</v>
      </c>
      <c r="C295" s="386"/>
      <c r="D295" s="386"/>
      <c r="E295" s="386"/>
      <c r="F295" s="386"/>
      <c r="G295" s="386"/>
    </row>
    <row r="296" spans="1:7">
      <c r="A296" s="371"/>
      <c r="B296" s="362" t="s">
        <v>290</v>
      </c>
      <c r="C296" s="386"/>
      <c r="D296" s="386"/>
      <c r="E296" s="386"/>
      <c r="F296" s="386"/>
      <c r="G296" s="386"/>
    </row>
    <row r="297" spans="1:7">
      <c r="A297" s="371"/>
      <c r="C297" s="386"/>
      <c r="D297" s="386"/>
      <c r="E297" s="386"/>
      <c r="F297" s="386"/>
      <c r="G297" s="386"/>
    </row>
    <row r="298" spans="2:8">
      <c r="B298" s="5" t="s">
        <v>216</v>
      </c>
      <c r="C298" s="458"/>
      <c r="D298" s="458"/>
      <c r="E298" s="458"/>
      <c r="F298" s="458"/>
      <c r="G298" s="458"/>
      <c r="H298" s="458"/>
    </row>
    <row r="299" spans="2:7">
      <c r="B299" s="371" t="s">
        <v>291</v>
      </c>
      <c r="C299" s="408"/>
      <c r="E299" s="408"/>
      <c r="G299" s="408">
        <f>C299-E299</f>
        <v>0</v>
      </c>
    </row>
    <row r="300" spans="2:7">
      <c r="B300" s="371" t="s">
        <v>292</v>
      </c>
      <c r="C300" s="386">
        <v>39700000</v>
      </c>
      <c r="D300" s="386"/>
      <c r="E300" s="386">
        <v>39700000</v>
      </c>
      <c r="F300" s="386"/>
      <c r="G300" s="395">
        <f t="shared" ref="G300:G306" si="18">C300-E300</f>
        <v>0</v>
      </c>
    </row>
    <row r="301" spans="2:7">
      <c r="B301" s="371" t="s">
        <v>293</v>
      </c>
      <c r="C301" s="408"/>
      <c r="E301" s="408"/>
      <c r="F301" s="386"/>
      <c r="G301" s="408">
        <f t="shared" si="18"/>
        <v>0</v>
      </c>
    </row>
    <row r="302" ht="26" spans="2:7">
      <c r="B302" s="387" t="s">
        <v>294</v>
      </c>
      <c r="C302" s="386"/>
      <c r="D302" s="386"/>
      <c r="E302" s="408"/>
      <c r="F302" s="386"/>
      <c r="G302" s="395">
        <f t="shared" si="18"/>
        <v>0</v>
      </c>
    </row>
    <row r="303" ht="26" spans="2:7">
      <c r="B303" s="387" t="s">
        <v>295</v>
      </c>
      <c r="C303" s="408"/>
      <c r="E303" s="408"/>
      <c r="F303" s="386"/>
      <c r="G303" s="408">
        <f t="shared" si="18"/>
        <v>0</v>
      </c>
    </row>
    <row r="304" spans="2:7">
      <c r="B304" s="361" t="s">
        <v>296</v>
      </c>
      <c r="C304" s="408"/>
      <c r="D304" s="386"/>
      <c r="E304" s="408"/>
      <c r="F304" s="386"/>
      <c r="G304" s="395">
        <f t="shared" si="18"/>
        <v>0</v>
      </c>
    </row>
    <row r="305" spans="2:7">
      <c r="B305" s="361" t="s">
        <v>297</v>
      </c>
      <c r="C305" s="393"/>
      <c r="D305" s="386"/>
      <c r="E305" s="463"/>
      <c r="F305" s="386"/>
      <c r="G305" s="393">
        <f t="shared" si="18"/>
        <v>0</v>
      </c>
    </row>
    <row r="306" spans="3:7">
      <c r="C306" s="415">
        <f>SUM(C299:C305)</f>
        <v>39700000</v>
      </c>
      <c r="D306" s="386"/>
      <c r="E306" s="382">
        <f>SUM(E299:E305)</f>
        <v>39700000</v>
      </c>
      <c r="F306" s="386"/>
      <c r="G306" s="415">
        <f t="shared" si="18"/>
        <v>0</v>
      </c>
    </row>
    <row r="307" spans="2:7">
      <c r="B307" s="362" t="s">
        <v>148</v>
      </c>
      <c r="C307" s="386"/>
      <c r="D307" s="386"/>
      <c r="E307" s="386"/>
      <c r="F307" s="386"/>
      <c r="G307" s="386"/>
    </row>
    <row r="308" spans="2:7">
      <c r="B308" s="362" t="s">
        <v>218</v>
      </c>
      <c r="C308" s="386"/>
      <c r="D308" s="386"/>
      <c r="E308" s="386"/>
      <c r="F308" s="386"/>
      <c r="G308" s="386"/>
    </row>
    <row r="309" spans="2:7">
      <c r="B309" s="5"/>
      <c r="C309" s="386"/>
      <c r="D309" s="386"/>
      <c r="E309" s="386"/>
      <c r="F309" s="386"/>
      <c r="G309" s="386"/>
    </row>
    <row r="310" spans="2:7">
      <c r="B310" s="5"/>
      <c r="C310" s="386"/>
      <c r="D310" s="386"/>
      <c r="E310" s="386"/>
      <c r="F310" s="386"/>
      <c r="G310" s="386"/>
    </row>
    <row r="311" spans="2:7">
      <c r="B311" s="5"/>
      <c r="C311" s="386"/>
      <c r="D311" s="386"/>
      <c r="E311" s="386"/>
      <c r="F311" s="386"/>
      <c r="G311" s="386"/>
    </row>
    <row r="312" spans="2:7">
      <c r="B312" s="5"/>
      <c r="C312" s="386"/>
      <c r="D312" s="386"/>
      <c r="E312" s="386"/>
      <c r="F312" s="386"/>
      <c r="G312" s="386"/>
    </row>
    <row r="313" spans="2:7">
      <c r="B313" s="5"/>
      <c r="C313" s="386"/>
      <c r="D313" s="386"/>
      <c r="E313" s="386"/>
      <c r="F313" s="386"/>
      <c r="G313" s="386"/>
    </row>
    <row r="314" spans="2:7">
      <c r="B314" s="5"/>
      <c r="C314" s="386"/>
      <c r="D314" s="386"/>
      <c r="E314" s="386"/>
      <c r="F314" s="386"/>
      <c r="G314" s="386"/>
    </row>
    <row r="315" spans="2:7">
      <c r="B315" s="5"/>
      <c r="C315" s="386"/>
      <c r="D315" s="386"/>
      <c r="E315" s="386"/>
      <c r="F315" s="386"/>
      <c r="G315" s="386"/>
    </row>
    <row r="316" spans="2:7">
      <c r="B316" s="5"/>
      <c r="C316" s="386"/>
      <c r="D316" s="386"/>
      <c r="E316" s="386"/>
      <c r="F316" s="386"/>
      <c r="G316" s="386"/>
    </row>
    <row r="317" spans="2:7">
      <c r="B317" s="5"/>
      <c r="C317" s="386"/>
      <c r="D317" s="386"/>
      <c r="E317" s="386"/>
      <c r="F317" s="386"/>
      <c r="G317" s="386"/>
    </row>
    <row r="318" spans="2:7">
      <c r="B318" s="5" t="s">
        <v>220</v>
      </c>
      <c r="C318" s="386"/>
      <c r="D318" s="386"/>
      <c r="E318" s="386"/>
      <c r="F318" s="386"/>
      <c r="G318" s="386"/>
    </row>
    <row r="319" spans="2:7">
      <c r="B319" s="5"/>
      <c r="C319" s="386"/>
      <c r="D319" s="386"/>
      <c r="E319" s="388"/>
      <c r="F319" s="386"/>
      <c r="G319" s="395"/>
    </row>
    <row r="320" spans="2:7">
      <c r="B320" s="361" t="s">
        <v>298</v>
      </c>
      <c r="C320" s="386"/>
      <c r="D320" s="386"/>
      <c r="E320" s="388"/>
      <c r="F320" s="386"/>
      <c r="G320" s="395">
        <f t="shared" ref="G320:G323" si="19">C320-E320</f>
        <v>0</v>
      </c>
    </row>
    <row r="321" spans="2:7">
      <c r="B321" s="361" t="s">
        <v>299</v>
      </c>
      <c r="C321" s="408">
        <v>9400000</v>
      </c>
      <c r="D321" s="386"/>
      <c r="E321" s="408"/>
      <c r="F321" s="386"/>
      <c r="G321" s="408">
        <f t="shared" si="19"/>
        <v>9400000</v>
      </c>
    </row>
    <row r="322" spans="2:7">
      <c r="B322" s="361" t="s">
        <v>300</v>
      </c>
      <c r="C322" s="393">
        <v>32400000</v>
      </c>
      <c r="D322" s="386"/>
      <c r="E322" s="393">
        <v>32400000</v>
      </c>
      <c r="F322" s="386"/>
      <c r="G322" s="393">
        <f t="shared" si="19"/>
        <v>0</v>
      </c>
    </row>
    <row r="323" spans="3:7">
      <c r="C323" s="415">
        <f>SUM(C320:C322)</f>
        <v>41800000</v>
      </c>
      <c r="D323" s="386"/>
      <c r="E323" s="382">
        <f>SUM(E320:E322)</f>
        <v>32400000</v>
      </c>
      <c r="F323" s="386"/>
      <c r="G323" s="415">
        <f t="shared" si="19"/>
        <v>9400000</v>
      </c>
    </row>
    <row r="324" spans="1:7">
      <c r="A324" s="365"/>
      <c r="B324" s="425" t="s">
        <v>148</v>
      </c>
      <c r="C324" s="428"/>
      <c r="E324" s="428"/>
      <c r="G324" s="428"/>
    </row>
    <row r="325" spans="1:7">
      <c r="A325" s="365"/>
      <c r="B325" s="362" t="s">
        <v>223</v>
      </c>
      <c r="C325" s="428"/>
      <c r="E325" s="428"/>
      <c r="G325" s="428"/>
    </row>
    <row r="326" spans="1:7">
      <c r="A326" s="365"/>
      <c r="B326" s="362" t="s">
        <v>224</v>
      </c>
      <c r="C326" s="428"/>
      <c r="E326" s="428"/>
      <c r="G326" s="428"/>
    </row>
    <row r="328" spans="1:7">
      <c r="A328" s="365" t="s">
        <v>301</v>
      </c>
      <c r="B328" s="5" t="s">
        <v>53</v>
      </c>
      <c r="C328" s="428"/>
      <c r="E328" s="428"/>
      <c r="G328" s="428"/>
    </row>
    <row r="329" spans="2:7">
      <c r="B329" s="361" t="s">
        <v>302</v>
      </c>
      <c r="C329" s="386"/>
      <c r="D329" s="386"/>
      <c r="E329" s="388"/>
      <c r="F329" s="396"/>
      <c r="G329" s="396"/>
    </row>
    <row r="330" spans="3:7">
      <c r="C330" s="380" t="s">
        <v>127</v>
      </c>
      <c r="D330" s="381"/>
      <c r="E330" s="382" t="s">
        <v>128</v>
      </c>
      <c r="F330" s="381"/>
      <c r="G330" s="380" t="s">
        <v>129</v>
      </c>
    </row>
    <row r="331" spans="1:7">
      <c r="A331" s="372"/>
      <c r="B331" s="361" t="s">
        <v>93</v>
      </c>
      <c r="C331" s="408">
        <v>37471992</v>
      </c>
      <c r="D331" s="386"/>
      <c r="E331" s="408">
        <v>37471992</v>
      </c>
      <c r="F331" s="396"/>
      <c r="G331" s="408">
        <f>C331-E331</f>
        <v>0</v>
      </c>
    </row>
    <row r="332" spans="2:7">
      <c r="B332" s="361" t="s">
        <v>94</v>
      </c>
      <c r="C332" s="408"/>
      <c r="D332" s="386"/>
      <c r="E332" s="408"/>
      <c r="F332" s="396"/>
      <c r="G332" s="408">
        <f>C332-E332</f>
        <v>0</v>
      </c>
    </row>
    <row r="333" spans="3:7">
      <c r="C333" s="415">
        <f>C331-C332</f>
        <v>37471992</v>
      </c>
      <c r="D333" s="415"/>
      <c r="E333" s="415">
        <f t="shared" ref="D333:E333" si="20">E331-E332</f>
        <v>37471992</v>
      </c>
      <c r="F333" s="396"/>
      <c r="G333" s="407">
        <f>SUM(G331:G332)</f>
        <v>0</v>
      </c>
    </row>
    <row r="334" spans="3:7">
      <c r="C334" s="386"/>
      <c r="D334" s="386"/>
      <c r="E334" s="388"/>
      <c r="F334" s="396"/>
      <c r="G334" s="396"/>
    </row>
    <row r="335" spans="2:7">
      <c r="B335" s="361" t="s">
        <v>303</v>
      </c>
      <c r="C335" s="386"/>
      <c r="D335" s="386"/>
      <c r="E335" s="388"/>
      <c r="F335" s="396"/>
      <c r="G335" s="396"/>
    </row>
    <row r="336" spans="2:7">
      <c r="B336" s="361" t="s">
        <v>304</v>
      </c>
      <c r="C336" s="386">
        <v>37471992</v>
      </c>
      <c r="D336" s="386"/>
      <c r="E336" s="386"/>
      <c r="F336" s="396"/>
      <c r="G336" s="408">
        <f>C336-E336</f>
        <v>37471992</v>
      </c>
    </row>
    <row r="337" spans="2:7">
      <c r="B337" s="361" t="s">
        <v>305</v>
      </c>
      <c r="C337" s="408">
        <v>0</v>
      </c>
      <c r="D337" s="386"/>
      <c r="E337" s="408">
        <v>0</v>
      </c>
      <c r="F337" s="386"/>
      <c r="G337" s="408">
        <f>C337-E337</f>
        <v>0</v>
      </c>
    </row>
    <row r="338" spans="2:7">
      <c r="B338" s="371" t="s">
        <v>306</v>
      </c>
      <c r="C338" s="408">
        <v>0</v>
      </c>
      <c r="D338" s="386"/>
      <c r="E338" s="408">
        <v>0</v>
      </c>
      <c r="F338" s="396"/>
      <c r="G338" s="408">
        <f>C338-E338</f>
        <v>0</v>
      </c>
    </row>
    <row r="339" spans="2:7">
      <c r="B339" s="465"/>
      <c r="C339" s="415">
        <f>SUM(C336:C338)</f>
        <v>37471992</v>
      </c>
      <c r="D339" s="386"/>
      <c r="E339" s="382">
        <f>SUM(E336:E338)</f>
        <v>0</v>
      </c>
      <c r="F339" s="396"/>
      <c r="G339" s="407">
        <f>SUM(G336:G338)</f>
        <v>37471992</v>
      </c>
    </row>
    <row r="340" spans="3:7">
      <c r="C340" s="386"/>
      <c r="D340" s="386"/>
      <c r="E340" s="388"/>
      <c r="F340" s="396"/>
      <c r="G340" s="396"/>
    </row>
    <row r="341" spans="2:7">
      <c r="B341" s="361" t="s">
        <v>307</v>
      </c>
      <c r="C341" s="386"/>
      <c r="D341" s="386"/>
      <c r="E341" s="388"/>
      <c r="F341" s="396"/>
      <c r="G341" s="396"/>
    </row>
    <row r="342" spans="2:7">
      <c r="B342" s="361" t="s">
        <v>308</v>
      </c>
      <c r="C342" s="408">
        <v>0</v>
      </c>
      <c r="D342" s="386"/>
      <c r="E342" s="408">
        <v>0</v>
      </c>
      <c r="F342" s="386"/>
      <c r="G342" s="408">
        <f>C342-E342</f>
        <v>0</v>
      </c>
    </row>
    <row r="343" spans="2:7">
      <c r="B343" s="361" t="s">
        <v>309</v>
      </c>
      <c r="C343" s="408"/>
      <c r="D343" s="386"/>
      <c r="E343" s="408">
        <v>0</v>
      </c>
      <c r="F343" s="396"/>
      <c r="G343" s="408">
        <f>C343-E343</f>
        <v>0</v>
      </c>
    </row>
    <row r="344" spans="2:7">
      <c r="B344" s="465"/>
      <c r="C344" s="407">
        <f>SUM(C342:C343)</f>
        <v>0</v>
      </c>
      <c r="D344" s="396"/>
      <c r="E344" s="407">
        <f>SUM(E342:E343)</f>
        <v>0</v>
      </c>
      <c r="F344" s="396"/>
      <c r="G344" s="407">
        <f>SUM(G342:G343)</f>
        <v>0</v>
      </c>
    </row>
    <row r="347" s="5" customFormat="1" ht="15.75" customHeight="1" spans="1:10">
      <c r="A347" s="365" t="s">
        <v>310</v>
      </c>
      <c r="B347" s="5" t="s">
        <v>55</v>
      </c>
      <c r="E347" s="368"/>
      <c r="I347" s="397"/>
      <c r="J347" s="397"/>
    </row>
    <row r="348" ht="18" customHeight="1" spans="2:2">
      <c r="B348" s="371" t="s">
        <v>311</v>
      </c>
    </row>
    <row r="349" spans="3:7">
      <c r="C349" s="466">
        <v>2023</v>
      </c>
      <c r="E349" s="466">
        <v>2024</v>
      </c>
      <c r="G349" s="467" t="s">
        <v>312</v>
      </c>
    </row>
    <row r="350" spans="3:7">
      <c r="C350" s="366"/>
      <c r="E350" s="367"/>
      <c r="G350" s="366" t="s">
        <v>313</v>
      </c>
    </row>
    <row r="351" spans="2:7">
      <c r="B351" s="361" t="s">
        <v>314</v>
      </c>
      <c r="C351" s="468"/>
      <c r="D351" s="388"/>
      <c r="E351" s="469"/>
      <c r="F351" s="388"/>
      <c r="G351" s="419"/>
    </row>
    <row r="352" spans="2:9">
      <c r="B352" s="361" t="s">
        <v>315</v>
      </c>
      <c r="C352" s="390">
        <v>415697560</v>
      </c>
      <c r="D352" s="388"/>
      <c r="E352" s="390">
        <v>501643560</v>
      </c>
      <c r="F352" s="388"/>
      <c r="G352" s="470">
        <f t="shared" ref="G352:G355" si="21">C352-E352</f>
        <v>-85946000</v>
      </c>
      <c r="I352" s="364">
        <f>C352-E352</f>
        <v>-85946000</v>
      </c>
    </row>
    <row r="353" spans="2:9">
      <c r="B353" s="361" t="s">
        <v>316</v>
      </c>
      <c r="C353" s="469">
        <v>2237656470</v>
      </c>
      <c r="D353" s="388"/>
      <c r="E353" s="469">
        <v>1935676570</v>
      </c>
      <c r="F353" s="388"/>
      <c r="G353" s="470">
        <f t="shared" si="21"/>
        <v>301979900</v>
      </c>
      <c r="I353" s="364">
        <f>C353-E353</f>
        <v>301979900</v>
      </c>
    </row>
    <row r="354" spans="2:9">
      <c r="B354" s="361" t="s">
        <v>317</v>
      </c>
      <c r="C354" s="469">
        <v>5983373135</v>
      </c>
      <c r="D354" s="388"/>
      <c r="E354" s="469">
        <v>7794571135</v>
      </c>
      <c r="F354" s="388"/>
      <c r="G354" s="470">
        <f t="shared" si="21"/>
        <v>-1811198000</v>
      </c>
      <c r="I354" s="364">
        <f>C354-E354</f>
        <v>-1811198000</v>
      </c>
    </row>
    <row r="355" spans="2:9">
      <c r="B355" s="361" t="s">
        <v>318</v>
      </c>
      <c r="C355" s="469">
        <v>820777100</v>
      </c>
      <c r="D355" s="388"/>
      <c r="E355" s="469"/>
      <c r="F355" s="388"/>
      <c r="G355" s="470">
        <f t="shared" si="21"/>
        <v>820777100</v>
      </c>
      <c r="I355" s="364">
        <f>C355-E355</f>
        <v>820777100</v>
      </c>
    </row>
    <row r="356" spans="2:7">
      <c r="B356" s="361" t="s">
        <v>319</v>
      </c>
      <c r="C356" s="408">
        <v>0</v>
      </c>
      <c r="D356" s="388"/>
      <c r="E356" s="408"/>
      <c r="F356" s="388"/>
      <c r="G356" s="408">
        <f t="shared" ref="G356" si="22">C356-E356</f>
        <v>0</v>
      </c>
    </row>
    <row r="357" spans="3:9">
      <c r="C357" s="407">
        <f>SUM(C351:C356)</f>
        <v>9457504265</v>
      </c>
      <c r="D357" s="471"/>
      <c r="E357" s="407">
        <f>SUM(E351:E356)</f>
        <v>10231891265</v>
      </c>
      <c r="F357" s="363"/>
      <c r="G357" s="407">
        <f>SUM(G351:G356)</f>
        <v>-774387000</v>
      </c>
      <c r="I357" s="364">
        <f>SUM(I352:I356)</f>
        <v>-774387000</v>
      </c>
    </row>
    <row r="358" spans="3:7">
      <c r="C358" s="408"/>
      <c r="D358" s="471"/>
      <c r="E358" s="408"/>
      <c r="F358" s="363"/>
      <c r="G358" s="408"/>
    </row>
    <row r="359" s="361" customFormat="1" spans="2:10">
      <c r="B359" s="361" t="s">
        <v>320</v>
      </c>
      <c r="C359" s="408"/>
      <c r="D359" s="471"/>
      <c r="E359" s="408"/>
      <c r="F359" s="363"/>
      <c r="G359" s="408"/>
      <c r="I359" s="364"/>
      <c r="J359" s="364"/>
    </row>
    <row r="360" s="359" customFormat="1" ht="16.5" customHeight="1" spans="5:10">
      <c r="E360" s="370"/>
      <c r="I360" s="398"/>
      <c r="J360" s="398"/>
    </row>
    <row r="361" s="5" customFormat="1" ht="16.5" customHeight="1" spans="1:10">
      <c r="A361" s="365" t="s">
        <v>321</v>
      </c>
      <c r="B361" s="5" t="s">
        <v>57</v>
      </c>
      <c r="E361" s="368"/>
      <c r="I361" s="397"/>
      <c r="J361" s="397"/>
    </row>
    <row r="362" ht="18.75" customHeight="1" spans="2:2">
      <c r="B362" s="361" t="s">
        <v>322</v>
      </c>
    </row>
    <row r="363" spans="3:7">
      <c r="C363" s="466">
        <v>2023</v>
      </c>
      <c r="D363" s="361">
        <v>2022</v>
      </c>
      <c r="E363" s="466">
        <v>2024</v>
      </c>
      <c r="G363" s="467" t="s">
        <v>312</v>
      </c>
    </row>
    <row r="364" spans="3:7">
      <c r="C364" s="366"/>
      <c r="E364" s="367"/>
      <c r="G364" s="366" t="s">
        <v>313</v>
      </c>
    </row>
    <row r="365" spans="3:7">
      <c r="C365" s="386">
        <v>5000000</v>
      </c>
      <c r="D365" s="386"/>
      <c r="E365" s="388">
        <f>C365</f>
        <v>5000000</v>
      </c>
      <c r="F365" s="386"/>
      <c r="G365" s="408">
        <f>C365-E365</f>
        <v>0</v>
      </c>
    </row>
    <row r="366" spans="3:7">
      <c r="C366" s="410">
        <f>SUM(C365)</f>
        <v>5000000</v>
      </c>
      <c r="D366" s="396"/>
      <c r="E366" s="410">
        <f>SUM(E365)</f>
        <v>5000000</v>
      </c>
      <c r="F366" s="396"/>
      <c r="G366" s="407">
        <f>SUM(G364:G365)</f>
        <v>0</v>
      </c>
    </row>
    <row r="367" spans="3:7">
      <c r="C367" s="386"/>
      <c r="D367" s="386"/>
      <c r="E367" s="388"/>
      <c r="F367" s="386"/>
      <c r="G367" s="386"/>
    </row>
    <row r="368" spans="2:2">
      <c r="B368" s="362" t="s">
        <v>148</v>
      </c>
    </row>
    <row r="369" spans="2:2">
      <c r="B369" s="362" t="s">
        <v>323</v>
      </c>
    </row>
    <row r="370" spans="2:5">
      <c r="B370" s="472"/>
      <c r="E370" s="372"/>
    </row>
    <row r="371" spans="2:5">
      <c r="B371" s="472"/>
      <c r="E371" s="372"/>
    </row>
    <row r="372" spans="2:5">
      <c r="B372" s="472"/>
      <c r="E372" s="372" t="s">
        <v>324</v>
      </c>
    </row>
    <row r="373" spans="2:5">
      <c r="B373" s="472"/>
      <c r="E373" s="372"/>
    </row>
    <row r="374" spans="2:2">
      <c r="B374" s="472"/>
    </row>
    <row r="376" spans="1:1">
      <c r="A376" s="371"/>
    </row>
    <row r="377" spans="5:5">
      <c r="E377" s="365" t="s">
        <v>325</v>
      </c>
    </row>
  </sheetData>
  <mergeCells count="8">
    <mergeCell ref="A1:G1"/>
    <mergeCell ref="A2:G2"/>
    <mergeCell ref="A3:G3"/>
    <mergeCell ref="A4:G4"/>
    <mergeCell ref="B47:G47"/>
    <mergeCell ref="B200:G200"/>
    <mergeCell ref="B264:G264"/>
    <mergeCell ref="B266:G266"/>
  </mergeCells>
  <printOptions horizontalCentered="1"/>
  <pageMargins left="0.78740157480315" right="0.393700787401575" top="0.78740157480315" bottom="1.18110236220472" header="0.31496062992126" footer="1.65354330708661"/>
  <pageSetup paperSize="5" scale="78" firstPageNumber="2" orientation="portrait" useFirstPageNumber="1" verticalDpi="72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9"/>
  <sheetViews>
    <sheetView tabSelected="1" topLeftCell="A11" workbookViewId="0">
      <selection activeCell="I29" sqref="I29"/>
    </sheetView>
  </sheetViews>
  <sheetFormatPr defaultColWidth="9" defaultRowHeight="14.5"/>
  <cols>
    <col min="1" max="1" width="10.0909090909091" style="225" customWidth="1"/>
    <col min="2" max="2" width="55.7272727272727" style="226" customWidth="1"/>
    <col min="3" max="3" width="8.63636363636364" style="225" customWidth="1"/>
    <col min="4" max="4" width="7" style="225" customWidth="1"/>
    <col min="5" max="5" width="7.27272727272727" style="225" customWidth="1"/>
    <col min="6" max="6" width="15.2727272727273" style="225" customWidth="1"/>
    <col min="7" max="7" width="7.81818181818182" style="225" customWidth="1"/>
    <col min="8" max="8" width="8.18181818181818" style="225" customWidth="1"/>
    <col min="9" max="9" width="11.9090909090909" style="225" customWidth="1"/>
    <col min="10" max="10" width="8.72727272727273" style="225" customWidth="1"/>
    <col min="11" max="11" width="11.6363636363636" style="225" customWidth="1"/>
    <col min="12" max="12" width="10.1818181818182" style="225" customWidth="1"/>
    <col min="13" max="16" width="8.72727272727273" style="225"/>
    <col min="17" max="17" width="16.3636363636364" style="225"/>
    <col min="18" max="18" width="12" style="225" customWidth="1"/>
    <col min="19" max="16384" width="8.72727272727273" style="225"/>
  </cols>
  <sheetData>
    <row r="1" spans="1:12">
      <c r="A1" s="223"/>
      <c r="B1" s="227"/>
      <c r="C1" s="223"/>
      <c r="D1" s="223"/>
      <c r="E1" s="223"/>
      <c r="F1" s="223"/>
      <c r="G1" s="223"/>
      <c r="H1" s="223"/>
      <c r="I1" s="223" t="s">
        <v>326</v>
      </c>
      <c r="J1" s="223"/>
      <c r="K1" s="223"/>
      <c r="L1" s="223"/>
    </row>
    <row r="2" spans="1:12">
      <c r="A2" s="223"/>
      <c r="B2" s="227"/>
      <c r="C2" s="223"/>
      <c r="D2" s="223"/>
      <c r="E2" s="223"/>
      <c r="F2" s="223"/>
      <c r="G2" s="223"/>
      <c r="H2" s="223"/>
      <c r="I2" s="223" t="s">
        <v>1</v>
      </c>
      <c r="J2" s="223"/>
      <c r="K2" s="223"/>
      <c r="L2" s="223"/>
    </row>
    <row r="3" spans="1:12">
      <c r="A3" s="223"/>
      <c r="B3" s="227"/>
      <c r="C3" s="223"/>
      <c r="D3" s="223"/>
      <c r="E3" s="223"/>
      <c r="F3" s="223"/>
      <c r="G3" s="223"/>
      <c r="H3" s="223"/>
      <c r="I3" s="223" t="s">
        <v>327</v>
      </c>
      <c r="J3" s="223"/>
      <c r="K3" s="223"/>
      <c r="L3" s="223"/>
    </row>
    <row r="4" spans="1:12">
      <c r="A4" s="223"/>
      <c r="B4" s="227"/>
      <c r="C4" s="223"/>
      <c r="D4" s="223"/>
      <c r="E4" s="223"/>
      <c r="F4" s="223"/>
      <c r="G4" s="223"/>
      <c r="H4" s="223"/>
      <c r="I4" s="223" t="s">
        <v>3</v>
      </c>
      <c r="J4" s="223"/>
      <c r="K4" s="223"/>
      <c r="L4" s="223"/>
    </row>
    <row r="5" spans="1:12">
      <c r="A5" s="223"/>
      <c r="B5" s="227"/>
      <c r="C5" s="223"/>
      <c r="D5" s="223"/>
      <c r="E5" s="223"/>
      <c r="F5" s="223"/>
      <c r="G5" s="223"/>
      <c r="H5" s="223"/>
      <c r="I5" s="223" t="s">
        <v>328</v>
      </c>
      <c r="J5" s="223"/>
      <c r="K5" s="223"/>
      <c r="L5" s="223"/>
    </row>
    <row r="6" spans="1:12">
      <c r="A6" s="223"/>
      <c r="B6" s="227"/>
      <c r="C6" s="223"/>
      <c r="D6" s="223"/>
      <c r="E6" s="223"/>
      <c r="F6" s="223"/>
      <c r="G6" s="223"/>
      <c r="H6" s="223"/>
      <c r="I6" s="223" t="s">
        <v>329</v>
      </c>
      <c r="J6" s="223"/>
      <c r="K6" s="223"/>
      <c r="L6" s="223"/>
    </row>
    <row r="7" spans="1:12">
      <c r="A7" s="223"/>
      <c r="B7" s="227"/>
      <c r="C7" s="223"/>
      <c r="D7" s="223"/>
      <c r="E7" s="223"/>
      <c r="F7" s="223"/>
      <c r="G7" s="223"/>
      <c r="H7" s="223"/>
      <c r="I7" s="223"/>
      <c r="J7" s="223"/>
      <c r="K7" s="223"/>
      <c r="L7" s="223"/>
    </row>
    <row r="8" ht="33.5" customHeight="1" spans="1:12">
      <c r="A8" s="228" t="s">
        <v>330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</row>
    <row r="9" ht="9" customHeight="1" spans="1:12">
      <c r="A9" s="229" t="s">
        <v>331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</row>
    <row r="10" ht="14.75" customHeight="1" spans="1:15">
      <c r="A10" s="230" t="s">
        <v>332</v>
      </c>
      <c r="B10" s="231" t="s">
        <v>333</v>
      </c>
      <c r="C10" s="232" t="s">
        <v>334</v>
      </c>
      <c r="D10" s="233" t="s">
        <v>335</v>
      </c>
      <c r="E10" s="233"/>
      <c r="F10" s="233"/>
      <c r="G10" s="233" t="s">
        <v>336</v>
      </c>
      <c r="H10" s="233"/>
      <c r="I10" s="233"/>
      <c r="J10" s="271"/>
      <c r="K10" s="233" t="s">
        <v>337</v>
      </c>
      <c r="L10" s="233"/>
      <c r="M10" s="233"/>
      <c r="N10" s="233"/>
      <c r="O10" s="272"/>
    </row>
    <row r="11" ht="21" customHeight="1" spans="1:15">
      <c r="A11" s="234"/>
      <c r="B11" s="235"/>
      <c r="C11" s="236"/>
      <c r="D11" s="233" t="s">
        <v>338</v>
      </c>
      <c r="E11" s="233" t="s">
        <v>339</v>
      </c>
      <c r="F11" s="233" t="s">
        <v>340</v>
      </c>
      <c r="G11" s="233" t="s">
        <v>338</v>
      </c>
      <c r="H11" s="233" t="s">
        <v>339</v>
      </c>
      <c r="I11" s="233" t="s">
        <v>340</v>
      </c>
      <c r="J11" s="233" t="s">
        <v>341</v>
      </c>
      <c r="K11" s="271" t="s">
        <v>342</v>
      </c>
      <c r="L11" s="273" t="s">
        <v>343</v>
      </c>
      <c r="M11" s="273" t="s">
        <v>344</v>
      </c>
      <c r="N11" s="273" t="s">
        <v>345</v>
      </c>
      <c r="O11" s="272"/>
    </row>
    <row r="12" ht="13.5" customHeight="1" spans="1:15">
      <c r="A12" s="237">
        <v>1</v>
      </c>
      <c r="B12" s="238">
        <v>2</v>
      </c>
      <c r="C12" s="239"/>
      <c r="D12" s="240"/>
      <c r="E12" s="240"/>
      <c r="F12" s="240">
        <v>3</v>
      </c>
      <c r="G12" s="240"/>
      <c r="H12" s="240"/>
      <c r="I12" s="240">
        <v>6</v>
      </c>
      <c r="J12" s="240">
        <v>7</v>
      </c>
      <c r="K12" s="240">
        <v>8</v>
      </c>
      <c r="L12" s="272"/>
      <c r="M12" s="272"/>
      <c r="N12" s="272"/>
      <c r="O12" s="272"/>
    </row>
    <row r="13" ht="19" customHeight="1" spans="1:11">
      <c r="A13" s="241">
        <v>4</v>
      </c>
      <c r="B13" s="242" t="s">
        <v>346</v>
      </c>
      <c r="C13" s="243"/>
      <c r="D13" s="244"/>
      <c r="E13" s="244"/>
      <c r="F13" s="245"/>
      <c r="G13" s="245"/>
      <c r="H13" s="245"/>
      <c r="I13" s="245"/>
      <c r="J13" s="245"/>
      <c r="K13" s="245"/>
    </row>
    <row r="14" ht="17.25" customHeight="1" spans="1:15">
      <c r="A14" s="246" t="s">
        <v>347</v>
      </c>
      <c r="B14" s="247" t="s">
        <v>73</v>
      </c>
      <c r="C14" s="244"/>
      <c r="D14" s="244"/>
      <c r="E14" s="244"/>
      <c r="F14" s="248">
        <f>F15+F17</f>
        <v>9000000</v>
      </c>
      <c r="G14" s="248"/>
      <c r="H14" s="248"/>
      <c r="I14" s="248">
        <f t="shared" ref="I14" si="0">I15+I17</f>
        <v>7700000</v>
      </c>
      <c r="J14" s="248"/>
      <c r="K14" s="248"/>
      <c r="L14" s="248"/>
      <c r="M14" s="248"/>
      <c r="N14" s="248"/>
      <c r="O14" s="248"/>
    </row>
    <row r="15" ht="15.25" customHeight="1" spans="1:15">
      <c r="A15" s="249" t="s">
        <v>348</v>
      </c>
      <c r="B15" s="247" t="s">
        <v>74</v>
      </c>
      <c r="C15" s="244"/>
      <c r="D15" s="244"/>
      <c r="E15" s="244"/>
      <c r="F15" s="250">
        <f>F16</f>
        <v>5000000</v>
      </c>
      <c r="G15" s="250"/>
      <c r="H15" s="250"/>
      <c r="I15" s="250">
        <f t="shared" ref="I15" si="1">I16</f>
        <v>2700000</v>
      </c>
      <c r="J15" s="250"/>
      <c r="K15" s="250"/>
      <c r="L15" s="250"/>
      <c r="M15" s="250"/>
      <c r="N15" s="250"/>
      <c r="O15" s="250"/>
    </row>
    <row r="16" ht="15.75" customHeight="1" spans="1:11">
      <c r="A16" s="251" t="s">
        <v>349</v>
      </c>
      <c r="B16" s="247" t="s">
        <v>350</v>
      </c>
      <c r="C16" s="244"/>
      <c r="D16" s="244"/>
      <c r="E16" s="244"/>
      <c r="F16" s="252">
        <v>5000000</v>
      </c>
      <c r="G16" s="252"/>
      <c r="H16" s="252"/>
      <c r="I16" s="252">
        <v>2700000</v>
      </c>
      <c r="J16" s="274">
        <v>24</v>
      </c>
      <c r="K16" s="252"/>
    </row>
    <row r="17" ht="15.75" customHeight="1" spans="1:15">
      <c r="A17" s="249" t="s">
        <v>351</v>
      </c>
      <c r="B17" s="247" t="s">
        <v>352</v>
      </c>
      <c r="C17" s="244"/>
      <c r="D17" s="244"/>
      <c r="E17" s="244"/>
      <c r="F17" s="250">
        <f>F18</f>
        <v>4000000</v>
      </c>
      <c r="G17" s="250"/>
      <c r="H17" s="250"/>
      <c r="I17" s="250">
        <f t="shared" ref="I17" si="2">I18</f>
        <v>5000000</v>
      </c>
      <c r="J17" s="250"/>
      <c r="K17" s="250"/>
      <c r="L17" s="250"/>
      <c r="M17" s="250"/>
      <c r="N17" s="250"/>
      <c r="O17" s="250"/>
    </row>
    <row r="18" ht="15.75" customHeight="1" spans="1:11">
      <c r="A18" s="251" t="s">
        <v>353</v>
      </c>
      <c r="B18" s="247" t="s">
        <v>354</v>
      </c>
      <c r="C18" s="244"/>
      <c r="D18" s="244"/>
      <c r="E18" s="244"/>
      <c r="F18" s="252">
        <v>4000000</v>
      </c>
      <c r="G18" s="252"/>
      <c r="H18" s="252"/>
      <c r="I18" s="252">
        <v>5000000</v>
      </c>
      <c r="J18" s="274">
        <v>89.7</v>
      </c>
      <c r="K18" s="252"/>
    </row>
    <row r="19" ht="16" customHeight="1" spans="1:15">
      <c r="A19" s="246" t="s">
        <v>355</v>
      </c>
      <c r="B19" s="247" t="s">
        <v>76</v>
      </c>
      <c r="C19" s="244"/>
      <c r="D19" s="244"/>
      <c r="E19" s="244"/>
      <c r="F19" s="248">
        <f>F20+F22+F24+F26</f>
        <v>2432011100</v>
      </c>
      <c r="G19" s="248">
        <f>G20+G22+G24+G26</f>
        <v>0</v>
      </c>
      <c r="H19" s="248">
        <f>H20+H22+H24+H26</f>
        <v>0</v>
      </c>
      <c r="I19" s="248">
        <f>I20+I22+I24+I26</f>
        <v>1855834099</v>
      </c>
      <c r="J19" s="248">
        <f>J20+J22+J24+J26</f>
        <v>0</v>
      </c>
      <c r="K19" s="248"/>
      <c r="L19" s="248"/>
      <c r="M19" s="248"/>
      <c r="N19" s="248"/>
      <c r="O19" s="248"/>
    </row>
    <row r="20" ht="15.25" customHeight="1" spans="1:15">
      <c r="A20" s="249" t="s">
        <v>356</v>
      </c>
      <c r="B20" s="247" t="s">
        <v>27</v>
      </c>
      <c r="C20" s="244"/>
      <c r="D20" s="244"/>
      <c r="E20" s="244"/>
      <c r="F20" s="250">
        <f>F21</f>
        <v>868319000</v>
      </c>
      <c r="G20" s="250"/>
      <c r="H20" s="250"/>
      <c r="I20" s="250">
        <f t="shared" ref="I20" si="3">I21</f>
        <v>868319000</v>
      </c>
      <c r="J20" s="250"/>
      <c r="K20" s="250"/>
      <c r="L20" s="250"/>
      <c r="M20" s="250"/>
      <c r="N20" s="250"/>
      <c r="O20" s="250"/>
    </row>
    <row r="21" ht="15.75" customHeight="1" spans="1:11">
      <c r="A21" s="251" t="s">
        <v>357</v>
      </c>
      <c r="B21" s="247" t="s">
        <v>358</v>
      </c>
      <c r="C21" s="244"/>
      <c r="D21" s="244"/>
      <c r="E21" s="244"/>
      <c r="F21" s="252">
        <v>868319000</v>
      </c>
      <c r="G21" s="252"/>
      <c r="H21" s="252"/>
      <c r="I21" s="252">
        <v>868319000</v>
      </c>
      <c r="J21" s="274">
        <v>100</v>
      </c>
      <c r="K21" s="275"/>
    </row>
    <row r="22" ht="15.75" customHeight="1" spans="1:15">
      <c r="A22" s="249" t="s">
        <v>359</v>
      </c>
      <c r="B22" s="247" t="s">
        <v>360</v>
      </c>
      <c r="C22" s="244"/>
      <c r="D22" s="244"/>
      <c r="E22" s="244"/>
      <c r="F22" s="250">
        <f>F23</f>
        <v>65475500</v>
      </c>
      <c r="G22" s="250"/>
      <c r="H22" s="250"/>
      <c r="I22" s="250">
        <f t="shared" ref="I22" si="4">I23</f>
        <v>73248800</v>
      </c>
      <c r="J22" s="250"/>
      <c r="K22" s="250"/>
      <c r="L22" s="250"/>
      <c r="M22" s="250"/>
      <c r="N22" s="250"/>
      <c r="O22" s="250"/>
    </row>
    <row r="23" ht="15.75" customHeight="1" spans="1:11">
      <c r="A23" s="251" t="s">
        <v>361</v>
      </c>
      <c r="B23" s="247" t="s">
        <v>362</v>
      </c>
      <c r="C23" s="244"/>
      <c r="D23" s="244"/>
      <c r="E23" s="244"/>
      <c r="F23" s="252">
        <v>65475500</v>
      </c>
      <c r="G23" s="252"/>
      <c r="H23" s="252"/>
      <c r="I23" s="252">
        <v>73248800</v>
      </c>
      <c r="J23" s="274">
        <v>100</v>
      </c>
      <c r="K23" s="275"/>
    </row>
    <row r="24" ht="15.75" customHeight="1" spans="1:15">
      <c r="A24" s="249" t="s">
        <v>363</v>
      </c>
      <c r="B24" s="247" t="s">
        <v>31</v>
      </c>
      <c r="C24" s="244"/>
      <c r="D24" s="244"/>
      <c r="E24" s="244"/>
      <c r="F24" s="250">
        <f>F25</f>
        <v>798216600</v>
      </c>
      <c r="G24" s="250"/>
      <c r="H24" s="250"/>
      <c r="I24" s="250">
        <f t="shared" ref="I24" si="5">I25</f>
        <v>798220300</v>
      </c>
      <c r="J24" s="250"/>
      <c r="K24" s="250"/>
      <c r="L24" s="250"/>
      <c r="M24" s="250"/>
      <c r="N24" s="250"/>
      <c r="O24" s="250"/>
    </row>
    <row r="25" ht="15.75" customHeight="1" spans="1:11">
      <c r="A25" s="251" t="s">
        <v>364</v>
      </c>
      <c r="B25" s="247" t="s">
        <v>365</v>
      </c>
      <c r="C25" s="244"/>
      <c r="D25" s="244"/>
      <c r="E25" s="244"/>
      <c r="F25" s="252">
        <v>798216600</v>
      </c>
      <c r="G25" s="252"/>
      <c r="H25" s="252"/>
      <c r="I25" s="252">
        <v>798220300</v>
      </c>
      <c r="J25" s="274">
        <v>99.55</v>
      </c>
      <c r="K25" s="252"/>
    </row>
    <row r="26" ht="15.75" customHeight="1" spans="1:15">
      <c r="A26" s="249" t="s">
        <v>366</v>
      </c>
      <c r="B26" s="247" t="s">
        <v>78</v>
      </c>
      <c r="C26" s="244"/>
      <c r="D26" s="244"/>
      <c r="E26" s="244"/>
      <c r="F26" s="250">
        <f>F27</f>
        <v>700000000</v>
      </c>
      <c r="G26" s="250"/>
      <c r="H26" s="250"/>
      <c r="I26" s="250">
        <f t="shared" ref="I26" si="6">I27</f>
        <v>116045999</v>
      </c>
      <c r="J26" s="250"/>
      <c r="K26" s="250"/>
      <c r="L26" s="250"/>
      <c r="M26" s="250"/>
      <c r="N26" s="250"/>
      <c r="O26" s="250"/>
    </row>
    <row r="27" ht="15.75" customHeight="1" spans="1:11">
      <c r="A27" s="251" t="s">
        <v>367</v>
      </c>
      <c r="B27" s="247" t="s">
        <v>368</v>
      </c>
      <c r="C27" s="244"/>
      <c r="D27" s="244"/>
      <c r="E27" s="244"/>
      <c r="F27" s="252">
        <v>700000000</v>
      </c>
      <c r="G27" s="252"/>
      <c r="H27" s="252"/>
      <c r="I27" s="252">
        <v>116045999</v>
      </c>
      <c r="J27" s="274">
        <v>100</v>
      </c>
      <c r="K27" s="275"/>
    </row>
    <row r="28" ht="16" customHeight="1" spans="1:15">
      <c r="A28" s="246" t="s">
        <v>369</v>
      </c>
      <c r="B28" s="247" t="s">
        <v>370</v>
      </c>
      <c r="C28" s="244"/>
      <c r="D28" s="244"/>
      <c r="E28" s="244"/>
      <c r="F28" s="248">
        <f>F29+F31</f>
        <v>6300000</v>
      </c>
      <c r="G28" s="248"/>
      <c r="H28" s="248"/>
      <c r="I28" s="248">
        <f>I29+I31+I32</f>
        <v>21754512</v>
      </c>
      <c r="J28" s="248"/>
      <c r="K28" s="276"/>
      <c r="L28" s="277"/>
      <c r="M28" s="277"/>
      <c r="N28" s="277"/>
      <c r="O28" s="277"/>
    </row>
    <row r="29" ht="15.25" customHeight="1" spans="1:15">
      <c r="A29" s="249" t="s">
        <v>371</v>
      </c>
      <c r="B29" s="247" t="s">
        <v>372</v>
      </c>
      <c r="C29" s="244"/>
      <c r="D29" s="244"/>
      <c r="E29" s="244"/>
      <c r="F29" s="250">
        <f>F30</f>
        <v>4800000</v>
      </c>
      <c r="G29" s="250"/>
      <c r="H29" s="250"/>
      <c r="I29" s="250">
        <f t="shared" ref="I29" si="7">I30</f>
        <v>1541512</v>
      </c>
      <c r="J29" s="250"/>
      <c r="K29" s="278"/>
      <c r="L29" s="279"/>
      <c r="M29" s="279"/>
      <c r="N29" s="279"/>
      <c r="O29" s="279"/>
    </row>
    <row r="30" ht="15.75" customHeight="1" spans="1:15">
      <c r="A30" s="251" t="s">
        <v>373</v>
      </c>
      <c r="B30" s="247" t="s">
        <v>374</v>
      </c>
      <c r="C30" s="244"/>
      <c r="D30" s="244"/>
      <c r="E30" s="244"/>
      <c r="F30" s="252">
        <v>4800000</v>
      </c>
      <c r="G30" s="252"/>
      <c r="H30" s="252"/>
      <c r="I30" s="252">
        <v>1541512</v>
      </c>
      <c r="J30" s="274">
        <v>45.92</v>
      </c>
      <c r="K30" s="280"/>
      <c r="L30" s="272"/>
      <c r="M30" s="272"/>
      <c r="N30" s="272"/>
      <c r="O30" s="272"/>
    </row>
    <row r="31" ht="16.25" customHeight="1" spans="1:15">
      <c r="A31" s="249" t="s">
        <v>375</v>
      </c>
      <c r="B31" s="247" t="s">
        <v>376</v>
      </c>
      <c r="C31" s="244"/>
      <c r="D31" s="244"/>
      <c r="E31" s="244"/>
      <c r="F31" s="250">
        <v>1500000</v>
      </c>
      <c r="G31" s="250"/>
      <c r="H31" s="250"/>
      <c r="I31" s="250"/>
      <c r="J31" s="281">
        <v>160</v>
      </c>
      <c r="K31" s="278"/>
      <c r="L31" s="272"/>
      <c r="M31" s="272"/>
      <c r="N31" s="272"/>
      <c r="O31" s="272"/>
    </row>
    <row r="32" ht="16.5" customHeight="1" spans="1:18">
      <c r="A32" s="245"/>
      <c r="B32" s="253" t="s">
        <v>377</v>
      </c>
      <c r="C32" s="254"/>
      <c r="D32" s="254"/>
      <c r="E32" s="254"/>
      <c r="F32" s="255"/>
      <c r="G32" s="255"/>
      <c r="H32" s="255"/>
      <c r="I32" s="282">
        <v>20213000</v>
      </c>
      <c r="J32" s="255"/>
      <c r="K32" s="283"/>
      <c r="L32" s="284"/>
      <c r="M32" s="284"/>
      <c r="N32" s="284"/>
      <c r="O32" s="284"/>
      <c r="R32" s="295"/>
    </row>
    <row r="33" ht="16.5" customHeight="1" spans="1:18">
      <c r="A33" s="245"/>
      <c r="B33" s="256" t="s">
        <v>83</v>
      </c>
      <c r="C33" s="257"/>
      <c r="D33" s="257"/>
      <c r="E33" s="257"/>
      <c r="F33" s="258">
        <f>F14+F19+F28</f>
        <v>2447311100</v>
      </c>
      <c r="G33" s="258"/>
      <c r="H33" s="258"/>
      <c r="I33" s="285">
        <f>I14+I19+I28</f>
        <v>1885288611</v>
      </c>
      <c r="J33" s="258"/>
      <c r="K33" s="286"/>
      <c r="L33" s="284"/>
      <c r="M33" s="284"/>
      <c r="N33" s="284"/>
      <c r="O33" s="284"/>
      <c r="R33" s="295"/>
    </row>
    <row r="34" ht="16.5" customHeight="1" spans="1:15">
      <c r="A34" s="245"/>
      <c r="B34" s="259"/>
      <c r="C34" s="260"/>
      <c r="D34" s="260"/>
      <c r="E34" s="260"/>
      <c r="F34" s="261"/>
      <c r="G34" s="261"/>
      <c r="H34" s="261"/>
      <c r="I34" s="287"/>
      <c r="J34" s="288"/>
      <c r="K34" s="289"/>
      <c r="L34" s="272"/>
      <c r="M34" s="272"/>
      <c r="N34" s="272"/>
      <c r="O34" s="272"/>
    </row>
    <row r="35" ht="19.25" customHeight="1" spans="1:15">
      <c r="A35" s="262">
        <v>5</v>
      </c>
      <c r="B35" s="263" t="s">
        <v>378</v>
      </c>
      <c r="C35" s="243"/>
      <c r="D35" s="243"/>
      <c r="E35" s="243"/>
      <c r="F35" s="264"/>
      <c r="G35" s="264"/>
      <c r="H35" s="264"/>
      <c r="I35" s="264"/>
      <c r="J35" s="264"/>
      <c r="K35" s="290"/>
      <c r="L35" s="272"/>
      <c r="M35" s="272"/>
      <c r="N35" s="272"/>
      <c r="O35" s="272"/>
    </row>
    <row r="36" ht="17.5" customHeight="1" spans="1:17">
      <c r="A36" s="265">
        <v>1</v>
      </c>
      <c r="B36" s="266" t="s">
        <v>379</v>
      </c>
      <c r="C36" s="248">
        <v>886754305</v>
      </c>
      <c r="D36" s="244"/>
      <c r="E36" s="244"/>
      <c r="F36" s="248">
        <f>F37+F96+F128+F152+F207</f>
        <v>930420161</v>
      </c>
      <c r="G36" s="248">
        <f t="shared" ref="G36:O36" si="8">G37+G96+G128+G152+G207</f>
        <v>0</v>
      </c>
      <c r="H36" s="248">
        <f t="shared" si="8"/>
        <v>0</v>
      </c>
      <c r="I36" s="248">
        <f t="shared" si="8"/>
        <v>871984452</v>
      </c>
      <c r="J36" s="248">
        <f t="shared" si="8"/>
        <v>0</v>
      </c>
      <c r="K36" s="248">
        <f t="shared" si="8"/>
        <v>29995000</v>
      </c>
      <c r="L36" s="248">
        <f t="shared" si="8"/>
        <v>812206602</v>
      </c>
      <c r="M36" s="248">
        <f t="shared" si="8"/>
        <v>18044750</v>
      </c>
      <c r="N36" s="248">
        <f t="shared" si="8"/>
        <v>11738100</v>
      </c>
      <c r="O36" s="248">
        <f t="shared" si="8"/>
        <v>0</v>
      </c>
      <c r="P36" s="291"/>
      <c r="Q36" s="248"/>
    </row>
    <row r="37" ht="15.75" customHeight="1" spans="1:16">
      <c r="A37" s="246" t="s">
        <v>380</v>
      </c>
      <c r="B37" s="266" t="s">
        <v>381</v>
      </c>
      <c r="C37" s="248">
        <v>767490816</v>
      </c>
      <c r="D37" s="244"/>
      <c r="E37" s="244"/>
      <c r="F37" s="248">
        <f>F38+F43+F48+F54+F73+F77+F87+F91</f>
        <v>828255956</v>
      </c>
      <c r="G37" s="248">
        <f t="shared" ref="G37:O37" si="9">G38+G43+G48+G54+G73+G77+G87+G91</f>
        <v>0</v>
      </c>
      <c r="H37" s="248">
        <f t="shared" si="9"/>
        <v>0</v>
      </c>
      <c r="I37" s="248">
        <f t="shared" si="9"/>
        <v>785057102</v>
      </c>
      <c r="J37" s="248">
        <f t="shared" si="9"/>
        <v>0</v>
      </c>
      <c r="K37" s="248">
        <f t="shared" si="9"/>
        <v>25410000</v>
      </c>
      <c r="L37" s="248">
        <f t="shared" si="9"/>
        <v>759647102</v>
      </c>
      <c r="M37" s="248">
        <f t="shared" si="9"/>
        <v>0</v>
      </c>
      <c r="N37" s="248">
        <f t="shared" si="9"/>
        <v>0</v>
      </c>
      <c r="O37" s="248">
        <f t="shared" si="9"/>
        <v>0</v>
      </c>
      <c r="P37" s="291"/>
    </row>
    <row r="38" ht="16" customHeight="1" spans="1:15">
      <c r="A38" s="246" t="s">
        <v>382</v>
      </c>
      <c r="B38" s="266" t="s">
        <v>383</v>
      </c>
      <c r="C38" s="244"/>
      <c r="D38" s="244"/>
      <c r="E38" s="244"/>
      <c r="F38" s="248">
        <f>F39</f>
        <v>46800000</v>
      </c>
      <c r="G38" s="248"/>
      <c r="H38" s="248"/>
      <c r="I38" s="248">
        <f t="shared" ref="I38:O39" si="10">I39</f>
        <v>46800000</v>
      </c>
      <c r="J38" s="248"/>
      <c r="K38" s="276">
        <f t="shared" si="10"/>
        <v>0</v>
      </c>
      <c r="L38" s="277">
        <f t="shared" si="10"/>
        <v>46800000</v>
      </c>
      <c r="M38" s="277">
        <f t="shared" si="10"/>
        <v>0</v>
      </c>
      <c r="N38" s="277">
        <f t="shared" si="10"/>
        <v>0</v>
      </c>
      <c r="O38" s="277">
        <f t="shared" si="10"/>
        <v>0</v>
      </c>
    </row>
    <row r="39" ht="17" customHeight="1" spans="1:15">
      <c r="A39" s="246" t="s">
        <v>384</v>
      </c>
      <c r="B39" s="266" t="s">
        <v>195</v>
      </c>
      <c r="C39" s="244"/>
      <c r="D39" s="244"/>
      <c r="E39" s="244"/>
      <c r="F39" s="248">
        <f>F40</f>
        <v>46800000</v>
      </c>
      <c r="G39" s="248"/>
      <c r="H39" s="248"/>
      <c r="I39" s="248">
        <f t="shared" si="10"/>
        <v>46800000</v>
      </c>
      <c r="J39" s="248"/>
      <c r="K39" s="276">
        <f t="shared" si="10"/>
        <v>0</v>
      </c>
      <c r="L39" s="277">
        <f t="shared" si="10"/>
        <v>46800000</v>
      </c>
      <c r="M39" s="277">
        <f t="shared" si="10"/>
        <v>0</v>
      </c>
      <c r="N39" s="277">
        <f t="shared" si="10"/>
        <v>0</v>
      </c>
      <c r="O39" s="277">
        <f>O40</f>
        <v>0</v>
      </c>
    </row>
    <row r="40" ht="15.25" customHeight="1" spans="1:15">
      <c r="A40" s="249" t="s">
        <v>385</v>
      </c>
      <c r="B40" s="266" t="s">
        <v>386</v>
      </c>
      <c r="C40" s="244"/>
      <c r="D40" s="244"/>
      <c r="E40" s="244"/>
      <c r="F40" s="250">
        <f>F41+F42</f>
        <v>46800000</v>
      </c>
      <c r="G40" s="250"/>
      <c r="H40" s="250"/>
      <c r="I40" s="250">
        <f t="shared" ref="I40:O40" si="11">I41+I42</f>
        <v>46800000</v>
      </c>
      <c r="J40" s="250"/>
      <c r="K40" s="278">
        <f t="shared" si="11"/>
        <v>0</v>
      </c>
      <c r="L40" s="279">
        <f t="shared" si="11"/>
        <v>46800000</v>
      </c>
      <c r="M40" s="279">
        <f t="shared" si="11"/>
        <v>0</v>
      </c>
      <c r="N40" s="279">
        <f t="shared" si="11"/>
        <v>0</v>
      </c>
      <c r="O40" s="279">
        <f t="shared" si="11"/>
        <v>0</v>
      </c>
    </row>
    <row r="41" ht="15.75" customHeight="1" spans="1:15">
      <c r="A41" s="251" t="s">
        <v>387</v>
      </c>
      <c r="B41" s="247" t="s">
        <v>388</v>
      </c>
      <c r="C41" s="244"/>
      <c r="D41" s="244"/>
      <c r="E41" s="244"/>
      <c r="F41" s="252">
        <v>43200000</v>
      </c>
      <c r="G41" s="252"/>
      <c r="H41" s="252"/>
      <c r="I41" s="252">
        <v>43200000</v>
      </c>
      <c r="J41" s="274">
        <v>100</v>
      </c>
      <c r="K41" s="292"/>
      <c r="L41" s="252">
        <v>43200000</v>
      </c>
      <c r="M41" s="272"/>
      <c r="N41" s="272"/>
      <c r="O41" s="272"/>
    </row>
    <row r="42" customHeight="1" spans="1:15">
      <c r="A42" s="251" t="s">
        <v>389</v>
      </c>
      <c r="B42" s="247" t="s">
        <v>390</v>
      </c>
      <c r="C42" s="244"/>
      <c r="D42" s="244"/>
      <c r="E42" s="244"/>
      <c r="F42" s="252">
        <v>3600000</v>
      </c>
      <c r="G42" s="252"/>
      <c r="H42" s="252"/>
      <c r="I42" s="252">
        <v>3600000</v>
      </c>
      <c r="J42" s="274">
        <v>100</v>
      </c>
      <c r="K42" s="292"/>
      <c r="L42" s="252">
        <v>3600000</v>
      </c>
      <c r="M42" s="272"/>
      <c r="N42" s="272"/>
      <c r="O42" s="272"/>
    </row>
    <row r="43" ht="15.25" customHeight="1" spans="1:15">
      <c r="A43" s="246" t="s">
        <v>391</v>
      </c>
      <c r="B43" s="266" t="s">
        <v>392</v>
      </c>
      <c r="C43" s="244"/>
      <c r="D43" s="244"/>
      <c r="E43" s="244"/>
      <c r="F43" s="248">
        <f>F44</f>
        <v>606877400</v>
      </c>
      <c r="G43" s="248"/>
      <c r="H43" s="248"/>
      <c r="I43" s="248">
        <f t="shared" ref="I43:O44" si="12">I44</f>
        <v>569329000</v>
      </c>
      <c r="J43" s="248"/>
      <c r="K43" s="276">
        <f t="shared" si="12"/>
        <v>0</v>
      </c>
      <c r="L43" s="277">
        <f t="shared" si="12"/>
        <v>569329000</v>
      </c>
      <c r="M43" s="277">
        <f t="shared" si="12"/>
        <v>0</v>
      </c>
      <c r="N43" s="277">
        <f t="shared" si="12"/>
        <v>0</v>
      </c>
      <c r="O43" s="277">
        <f t="shared" si="12"/>
        <v>0</v>
      </c>
    </row>
    <row r="44" ht="17" customHeight="1" spans="1:15">
      <c r="A44" s="246" t="s">
        <v>384</v>
      </c>
      <c r="B44" s="266" t="s">
        <v>195</v>
      </c>
      <c r="C44" s="244"/>
      <c r="D44" s="244"/>
      <c r="E44" s="244"/>
      <c r="F44" s="248">
        <f>F45</f>
        <v>606877400</v>
      </c>
      <c r="G44" s="248"/>
      <c r="H44" s="248"/>
      <c r="I44" s="248">
        <f t="shared" si="12"/>
        <v>569329000</v>
      </c>
      <c r="J44" s="248"/>
      <c r="K44" s="276">
        <f t="shared" si="12"/>
        <v>0</v>
      </c>
      <c r="L44" s="277">
        <f t="shared" si="12"/>
        <v>569329000</v>
      </c>
      <c r="M44" s="277">
        <f t="shared" si="12"/>
        <v>0</v>
      </c>
      <c r="N44" s="277">
        <f t="shared" si="12"/>
        <v>0</v>
      </c>
      <c r="O44" s="277">
        <f t="shared" si="12"/>
        <v>0</v>
      </c>
    </row>
    <row r="45" ht="15.25" customHeight="1" spans="1:15">
      <c r="A45" s="249" t="s">
        <v>393</v>
      </c>
      <c r="B45" s="266" t="s">
        <v>394</v>
      </c>
      <c r="C45" s="244"/>
      <c r="D45" s="244"/>
      <c r="E45" s="244"/>
      <c r="F45" s="250">
        <f>F46+F47</f>
        <v>606877400</v>
      </c>
      <c r="G45" s="250"/>
      <c r="H45" s="250"/>
      <c r="I45" s="250">
        <f t="shared" ref="I45:O45" si="13">I46+I47</f>
        <v>569329000</v>
      </c>
      <c r="J45" s="250"/>
      <c r="K45" s="278">
        <f t="shared" si="13"/>
        <v>0</v>
      </c>
      <c r="L45" s="279">
        <f t="shared" si="13"/>
        <v>569329000</v>
      </c>
      <c r="M45" s="279">
        <f t="shared" si="13"/>
        <v>0</v>
      </c>
      <c r="N45" s="279">
        <f t="shared" si="13"/>
        <v>0</v>
      </c>
      <c r="O45" s="279">
        <f t="shared" si="13"/>
        <v>0</v>
      </c>
    </row>
    <row r="46" ht="15.75" customHeight="1" spans="1:15">
      <c r="A46" s="251" t="s">
        <v>395</v>
      </c>
      <c r="B46" s="247" t="s">
        <v>396</v>
      </c>
      <c r="C46" s="244"/>
      <c r="D46" s="244"/>
      <c r="E46" s="244"/>
      <c r="F46" s="252">
        <v>558384400</v>
      </c>
      <c r="G46" s="252"/>
      <c r="H46" s="252"/>
      <c r="I46" s="252">
        <v>520836000</v>
      </c>
      <c r="J46" s="274">
        <v>100</v>
      </c>
      <c r="K46" s="292"/>
      <c r="L46" s="252">
        <v>520836000</v>
      </c>
      <c r="M46" s="272"/>
      <c r="N46" s="272"/>
      <c r="O46" s="272"/>
    </row>
    <row r="47" customHeight="1" spans="1:15">
      <c r="A47" s="251" t="s">
        <v>397</v>
      </c>
      <c r="B47" s="247" t="s">
        <v>398</v>
      </c>
      <c r="C47" s="244"/>
      <c r="D47" s="244"/>
      <c r="E47" s="244"/>
      <c r="F47" s="252">
        <v>48493000</v>
      </c>
      <c r="G47" s="252"/>
      <c r="H47" s="252"/>
      <c r="I47" s="252">
        <v>48493000</v>
      </c>
      <c r="J47" s="274">
        <v>100</v>
      </c>
      <c r="K47" s="292"/>
      <c r="L47" s="252">
        <v>48493000</v>
      </c>
      <c r="M47" s="272"/>
      <c r="N47" s="272"/>
      <c r="O47" s="272"/>
    </row>
    <row r="48" ht="15.25" customHeight="1" spans="1:16">
      <c r="A48" s="246" t="s">
        <v>399</v>
      </c>
      <c r="B48" s="266" t="s">
        <v>400</v>
      </c>
      <c r="C48" s="244"/>
      <c r="D48" s="244"/>
      <c r="E48" s="244"/>
      <c r="F48" s="248">
        <f>F49</f>
        <v>42022992</v>
      </c>
      <c r="G48" s="248"/>
      <c r="H48" s="248"/>
      <c r="I48" s="248">
        <f t="shared" ref="I48:P49" si="14">I49</f>
        <v>39481620</v>
      </c>
      <c r="J48" s="248"/>
      <c r="K48" s="276">
        <f t="shared" si="14"/>
        <v>0</v>
      </c>
      <c r="L48" s="277">
        <f t="shared" si="14"/>
        <v>39481620</v>
      </c>
      <c r="M48" s="277">
        <f t="shared" si="14"/>
        <v>0</v>
      </c>
      <c r="N48" s="277">
        <f t="shared" si="14"/>
        <v>0</v>
      </c>
      <c r="O48" s="277">
        <f t="shared" si="14"/>
        <v>0</v>
      </c>
      <c r="P48" s="291"/>
    </row>
    <row r="49" ht="17" customHeight="1" spans="1:15">
      <c r="A49" s="246" t="s">
        <v>384</v>
      </c>
      <c r="B49" s="266" t="s">
        <v>195</v>
      </c>
      <c r="C49" s="244"/>
      <c r="D49" s="244"/>
      <c r="E49" s="244"/>
      <c r="F49" s="248">
        <f>F50</f>
        <v>42022992</v>
      </c>
      <c r="G49" s="248"/>
      <c r="H49" s="248"/>
      <c r="I49" s="248">
        <f t="shared" si="14"/>
        <v>39481620</v>
      </c>
      <c r="J49" s="248"/>
      <c r="K49" s="276">
        <f t="shared" si="14"/>
        <v>0</v>
      </c>
      <c r="L49" s="277">
        <f t="shared" si="14"/>
        <v>39481620</v>
      </c>
      <c r="M49" s="277">
        <f t="shared" si="14"/>
        <v>0</v>
      </c>
      <c r="N49" s="277">
        <f t="shared" si="14"/>
        <v>0</v>
      </c>
      <c r="O49" s="277">
        <f t="shared" si="14"/>
        <v>0</v>
      </c>
    </row>
    <row r="50" ht="15.25" customHeight="1" spans="1:15">
      <c r="A50" s="249" t="s">
        <v>401</v>
      </c>
      <c r="B50" s="247" t="s">
        <v>402</v>
      </c>
      <c r="C50" s="244"/>
      <c r="D50" s="244"/>
      <c r="E50" s="244"/>
      <c r="F50" s="250">
        <f>SUM(F51:F53)</f>
        <v>42022992</v>
      </c>
      <c r="G50" s="250"/>
      <c r="H50" s="250"/>
      <c r="I50" s="250">
        <f t="shared" ref="I50:O50" si="15">SUM(I51:I53)</f>
        <v>39481620</v>
      </c>
      <c r="J50" s="250"/>
      <c r="K50" s="278">
        <f t="shared" si="15"/>
        <v>0</v>
      </c>
      <c r="L50" s="279">
        <f t="shared" si="15"/>
        <v>39481620</v>
      </c>
      <c r="M50" s="279">
        <f t="shared" si="15"/>
        <v>0</v>
      </c>
      <c r="N50" s="279">
        <f t="shared" si="15"/>
        <v>0</v>
      </c>
      <c r="O50" s="279">
        <f t="shared" si="15"/>
        <v>0</v>
      </c>
    </row>
    <row r="51" ht="15.75" customHeight="1" spans="1:15">
      <c r="A51" s="251" t="s">
        <v>403</v>
      </c>
      <c r="B51" s="247" t="s">
        <v>404</v>
      </c>
      <c r="C51" s="244"/>
      <c r="D51" s="244"/>
      <c r="E51" s="244"/>
      <c r="F51" s="252">
        <v>4279728</v>
      </c>
      <c r="G51" s="252"/>
      <c r="H51" s="252"/>
      <c r="I51" s="252">
        <v>4279716</v>
      </c>
      <c r="J51" s="274">
        <v>100</v>
      </c>
      <c r="K51" s="292"/>
      <c r="L51" s="252">
        <v>4279716</v>
      </c>
      <c r="M51" s="272"/>
      <c r="N51" s="272"/>
      <c r="O51" s="272"/>
    </row>
    <row r="52" ht="15.75" customHeight="1" spans="1:15">
      <c r="A52" s="251" t="s">
        <v>405</v>
      </c>
      <c r="B52" s="247" t="s">
        <v>406</v>
      </c>
      <c r="C52" s="244"/>
      <c r="D52" s="244"/>
      <c r="E52" s="244"/>
      <c r="F52" s="252">
        <v>2695680</v>
      </c>
      <c r="G52" s="252"/>
      <c r="H52" s="252"/>
      <c r="I52" s="252">
        <v>2695680</v>
      </c>
      <c r="J52" s="274">
        <v>100</v>
      </c>
      <c r="K52" s="292"/>
      <c r="L52" s="252">
        <v>2695680</v>
      </c>
      <c r="M52" s="272"/>
      <c r="N52" s="272"/>
      <c r="O52" s="272"/>
    </row>
    <row r="53" ht="14.75" customHeight="1" spans="1:15">
      <c r="A53" s="251" t="s">
        <v>407</v>
      </c>
      <c r="B53" s="247" t="s">
        <v>408</v>
      </c>
      <c r="C53" s="244"/>
      <c r="D53" s="244"/>
      <c r="E53" s="244"/>
      <c r="F53" s="252">
        <v>35047584</v>
      </c>
      <c r="G53" s="252"/>
      <c r="H53" s="252"/>
      <c r="I53" s="252">
        <v>32506224</v>
      </c>
      <c r="J53" s="274">
        <v>100</v>
      </c>
      <c r="K53" s="292"/>
      <c r="L53" s="252">
        <v>32506224</v>
      </c>
      <c r="M53" s="272"/>
      <c r="N53" s="272"/>
      <c r="O53" s="272"/>
    </row>
    <row r="54" ht="15.25" customHeight="1" spans="1:15">
      <c r="A54" s="246" t="s">
        <v>409</v>
      </c>
      <c r="B54" s="266" t="s">
        <v>410</v>
      </c>
      <c r="C54" s="244"/>
      <c r="D54" s="244"/>
      <c r="E54" s="244"/>
      <c r="F54" s="248">
        <f>F55</f>
        <v>33421748</v>
      </c>
      <c r="G54" s="248">
        <f t="shared" ref="G54:O54" si="16">G55</f>
        <v>0</v>
      </c>
      <c r="H54" s="248">
        <f t="shared" si="16"/>
        <v>0</v>
      </c>
      <c r="I54" s="248">
        <f t="shared" si="16"/>
        <v>30399802</v>
      </c>
      <c r="J54" s="248"/>
      <c r="K54" s="276">
        <f t="shared" si="16"/>
        <v>0</v>
      </c>
      <c r="L54" s="277">
        <f t="shared" si="16"/>
        <v>30399802</v>
      </c>
      <c r="M54" s="277">
        <f t="shared" si="16"/>
        <v>0</v>
      </c>
      <c r="N54" s="277">
        <f t="shared" si="16"/>
        <v>0</v>
      </c>
      <c r="O54" s="277">
        <f t="shared" si="16"/>
        <v>0</v>
      </c>
    </row>
    <row r="55" ht="16.75" customHeight="1" spans="1:15">
      <c r="A55" s="246" t="s">
        <v>411</v>
      </c>
      <c r="B55" s="266" t="s">
        <v>412</v>
      </c>
      <c r="C55" s="244"/>
      <c r="D55" s="244"/>
      <c r="E55" s="244"/>
      <c r="F55" s="248">
        <f>F56+F62+F65+F70</f>
        <v>33421748</v>
      </c>
      <c r="G55" s="248">
        <f t="shared" ref="G55:O55" si="17">G56+G62+G65+G70</f>
        <v>0</v>
      </c>
      <c r="H55" s="248">
        <f t="shared" si="17"/>
        <v>0</v>
      </c>
      <c r="I55" s="248">
        <f t="shared" si="17"/>
        <v>30399802</v>
      </c>
      <c r="J55" s="248">
        <f t="shared" si="17"/>
        <v>381.9</v>
      </c>
      <c r="K55" s="248">
        <f t="shared" si="17"/>
        <v>0</v>
      </c>
      <c r="L55" s="248">
        <f t="shared" si="17"/>
        <v>30399802</v>
      </c>
      <c r="M55" s="248">
        <f t="shared" si="17"/>
        <v>0</v>
      </c>
      <c r="N55" s="248">
        <f t="shared" si="17"/>
        <v>0</v>
      </c>
      <c r="O55" s="248">
        <f t="shared" si="17"/>
        <v>0</v>
      </c>
    </row>
    <row r="56" ht="15.25" customHeight="1" spans="1:15">
      <c r="A56" s="249" t="s">
        <v>413</v>
      </c>
      <c r="B56" s="266" t="s">
        <v>414</v>
      </c>
      <c r="C56" s="244"/>
      <c r="D56" s="244"/>
      <c r="E56" s="244"/>
      <c r="F56" s="250">
        <f>SUM(F57:F61)</f>
        <v>12381748</v>
      </c>
      <c r="G56" s="250">
        <f t="shared" ref="G56:O56" si="18">SUM(G57:G61)</f>
        <v>0</v>
      </c>
      <c r="H56" s="250">
        <f t="shared" si="18"/>
        <v>0</v>
      </c>
      <c r="I56" s="250">
        <f t="shared" si="18"/>
        <v>11891000</v>
      </c>
      <c r="J56" s="250">
        <f t="shared" si="18"/>
        <v>381.9</v>
      </c>
      <c r="K56" s="250">
        <f t="shared" si="18"/>
        <v>0</v>
      </c>
      <c r="L56" s="250">
        <f t="shared" si="18"/>
        <v>11891000</v>
      </c>
      <c r="M56" s="250">
        <f t="shared" si="18"/>
        <v>0</v>
      </c>
      <c r="N56" s="250">
        <f t="shared" si="18"/>
        <v>0</v>
      </c>
      <c r="O56" s="250">
        <f t="shared" si="18"/>
        <v>0</v>
      </c>
    </row>
    <row r="57" ht="15.75" customHeight="1" spans="1:15">
      <c r="A57" s="251" t="s">
        <v>415</v>
      </c>
      <c r="B57" s="247" t="s">
        <v>416</v>
      </c>
      <c r="C57" s="244"/>
      <c r="D57" s="244"/>
      <c r="E57" s="244"/>
      <c r="F57" s="252">
        <v>1115748</v>
      </c>
      <c r="G57" s="252"/>
      <c r="H57" s="252"/>
      <c r="I57" s="252">
        <v>1100000</v>
      </c>
      <c r="J57" s="274">
        <v>99.2</v>
      </c>
      <c r="K57" s="280"/>
      <c r="L57" s="252">
        <v>1100000</v>
      </c>
      <c r="M57" s="272"/>
      <c r="N57" s="272"/>
      <c r="O57" s="272"/>
    </row>
    <row r="58" ht="15.75" customHeight="1" spans="1:15">
      <c r="A58" s="251" t="s">
        <v>417</v>
      </c>
      <c r="B58" s="247" t="s">
        <v>418</v>
      </c>
      <c r="C58" s="244"/>
      <c r="D58" s="244"/>
      <c r="E58" s="244"/>
      <c r="F58" s="252">
        <v>600000</v>
      </c>
      <c r="G58" s="252"/>
      <c r="H58" s="252"/>
      <c r="I58" s="252">
        <v>600000</v>
      </c>
      <c r="J58" s="274">
        <v>83.33</v>
      </c>
      <c r="K58" s="280"/>
      <c r="L58" s="252">
        <v>600000</v>
      </c>
      <c r="M58" s="272"/>
      <c r="N58" s="272"/>
      <c r="O58" s="272"/>
    </row>
    <row r="59" ht="17.75" customHeight="1" spans="1:15">
      <c r="A59" s="267" t="s">
        <v>419</v>
      </c>
      <c r="B59" s="242" t="s">
        <v>420</v>
      </c>
      <c r="C59" s="268"/>
      <c r="D59" s="268"/>
      <c r="E59" s="268"/>
      <c r="F59" s="269">
        <v>843000</v>
      </c>
      <c r="G59" s="269"/>
      <c r="H59" s="269"/>
      <c r="I59" s="269">
        <v>843000</v>
      </c>
      <c r="J59" s="293">
        <v>100</v>
      </c>
      <c r="K59" s="294"/>
      <c r="L59" s="269">
        <v>843000</v>
      </c>
      <c r="M59" s="272"/>
      <c r="N59" s="272"/>
      <c r="O59" s="272"/>
    </row>
    <row r="60" ht="15.75" customHeight="1" spans="1:15">
      <c r="A60" s="251" t="s">
        <v>421</v>
      </c>
      <c r="B60" s="247" t="s">
        <v>422</v>
      </c>
      <c r="C60" s="270"/>
      <c r="D60" s="270"/>
      <c r="E60" s="270"/>
      <c r="F60" s="252">
        <v>9375000</v>
      </c>
      <c r="G60" s="252"/>
      <c r="H60" s="252"/>
      <c r="I60" s="252">
        <v>8900000</v>
      </c>
      <c r="J60" s="274">
        <v>99.37</v>
      </c>
      <c r="K60" s="280"/>
      <c r="L60" s="252">
        <v>8900000</v>
      </c>
      <c r="M60" s="272"/>
      <c r="N60" s="272"/>
      <c r="O60" s="272"/>
    </row>
    <row r="61" ht="15.75" customHeight="1" spans="1:15">
      <c r="A61" s="249" t="s">
        <v>423</v>
      </c>
      <c r="B61" s="247" t="s">
        <v>424</v>
      </c>
      <c r="C61" s="270"/>
      <c r="D61" s="270"/>
      <c r="E61" s="270"/>
      <c r="F61" s="252">
        <v>448000</v>
      </c>
      <c r="G61" s="250"/>
      <c r="H61" s="250"/>
      <c r="I61" s="252">
        <v>448000</v>
      </c>
      <c r="J61" s="250"/>
      <c r="K61" s="278"/>
      <c r="L61" s="252">
        <v>448000</v>
      </c>
      <c r="M61" s="279"/>
      <c r="N61" s="279"/>
      <c r="O61" s="279"/>
    </row>
    <row r="62" ht="15.75" customHeight="1" spans="1:15">
      <c r="A62" s="249" t="s">
        <v>425</v>
      </c>
      <c r="B62" s="266" t="s">
        <v>426</v>
      </c>
      <c r="C62" s="270"/>
      <c r="D62" s="270"/>
      <c r="E62" s="270"/>
      <c r="F62" s="250">
        <f>SUM(F63:F64)</f>
        <v>16200000</v>
      </c>
      <c r="G62" s="250">
        <f t="shared" ref="G62:O62" si="19">SUM(G63:G64)</f>
        <v>0</v>
      </c>
      <c r="H62" s="250">
        <f t="shared" si="19"/>
        <v>0</v>
      </c>
      <c r="I62" s="250">
        <f t="shared" si="19"/>
        <v>15600000</v>
      </c>
      <c r="J62" s="250"/>
      <c r="K62" s="278">
        <f t="shared" si="19"/>
        <v>0</v>
      </c>
      <c r="L62" s="279">
        <f t="shared" si="19"/>
        <v>15600000</v>
      </c>
      <c r="M62" s="279">
        <f t="shared" si="19"/>
        <v>0</v>
      </c>
      <c r="N62" s="279">
        <f t="shared" si="19"/>
        <v>0</v>
      </c>
      <c r="O62" s="279">
        <f t="shared" si="19"/>
        <v>0</v>
      </c>
    </row>
    <row r="63" ht="15.75" customHeight="1" spans="1:15">
      <c r="A63" s="251" t="s">
        <v>427</v>
      </c>
      <c r="B63" s="247" t="s">
        <v>428</v>
      </c>
      <c r="C63" s="270"/>
      <c r="D63" s="270"/>
      <c r="E63" s="270"/>
      <c r="F63" s="252">
        <v>1200000</v>
      </c>
      <c r="G63" s="252"/>
      <c r="H63" s="252"/>
      <c r="I63" s="252">
        <v>1200000</v>
      </c>
      <c r="J63" s="274">
        <v>91.67</v>
      </c>
      <c r="K63" s="280"/>
      <c r="L63" s="252">
        <v>1200000</v>
      </c>
      <c r="M63" s="272"/>
      <c r="N63" s="272"/>
      <c r="O63" s="272"/>
    </row>
    <row r="64" ht="15.75" customHeight="1" spans="1:15">
      <c r="A64" s="251" t="s">
        <v>429</v>
      </c>
      <c r="B64" s="247" t="s">
        <v>430</v>
      </c>
      <c r="C64" s="270"/>
      <c r="D64" s="270"/>
      <c r="E64" s="270"/>
      <c r="F64" s="252">
        <v>15000000</v>
      </c>
      <c r="G64" s="252"/>
      <c r="H64" s="252"/>
      <c r="I64" s="252">
        <v>14400000</v>
      </c>
      <c r="J64" s="274">
        <v>100</v>
      </c>
      <c r="K64" s="292"/>
      <c r="L64" s="252">
        <v>14400000</v>
      </c>
      <c r="M64" s="272"/>
      <c r="N64" s="272"/>
      <c r="O64" s="272"/>
    </row>
    <row r="65" ht="15.75" customHeight="1" spans="1:15">
      <c r="A65" s="249" t="s">
        <v>431</v>
      </c>
      <c r="B65" s="266" t="s">
        <v>432</v>
      </c>
      <c r="C65" s="270"/>
      <c r="D65" s="270"/>
      <c r="E65" s="270"/>
      <c r="F65" s="250">
        <f>SUM(F66:F69)</f>
        <v>4540000</v>
      </c>
      <c r="G65" s="250">
        <f t="shared" ref="G65:O65" si="20">SUM(G66:G69)</f>
        <v>0</v>
      </c>
      <c r="H65" s="250">
        <f t="shared" si="20"/>
        <v>0</v>
      </c>
      <c r="I65" s="250">
        <f t="shared" si="20"/>
        <v>2608802</v>
      </c>
      <c r="J65" s="250"/>
      <c r="K65" s="278">
        <f t="shared" si="20"/>
        <v>0</v>
      </c>
      <c r="L65" s="279">
        <f t="shared" si="20"/>
        <v>2608802</v>
      </c>
      <c r="M65" s="279">
        <f t="shared" si="20"/>
        <v>0</v>
      </c>
      <c r="N65" s="279">
        <f t="shared" si="20"/>
        <v>0</v>
      </c>
      <c r="O65" s="279">
        <f t="shared" si="20"/>
        <v>0</v>
      </c>
    </row>
    <row r="66" ht="15.75" customHeight="1" spans="1:15">
      <c r="A66" s="251" t="s">
        <v>433</v>
      </c>
      <c r="B66" s="247" t="s">
        <v>434</v>
      </c>
      <c r="C66" s="270"/>
      <c r="D66" s="270"/>
      <c r="E66" s="270"/>
      <c r="F66" s="252">
        <v>1020000</v>
      </c>
      <c r="G66" s="252"/>
      <c r="H66" s="252"/>
      <c r="I66" s="252">
        <v>1112000</v>
      </c>
      <c r="J66" s="274">
        <v>99.31</v>
      </c>
      <c r="K66" s="280"/>
      <c r="L66" s="252">
        <v>1112000</v>
      </c>
      <c r="M66" s="272"/>
      <c r="N66" s="272"/>
      <c r="O66" s="272"/>
    </row>
    <row r="67" ht="15.75" customHeight="1" spans="1:15">
      <c r="A67" s="251" t="s">
        <v>435</v>
      </c>
      <c r="B67" s="247" t="s">
        <v>436</v>
      </c>
      <c r="C67" s="270"/>
      <c r="D67" s="270"/>
      <c r="E67" s="270"/>
      <c r="F67" s="252">
        <v>1020000</v>
      </c>
      <c r="G67" s="252"/>
      <c r="H67" s="252"/>
      <c r="I67" s="252">
        <v>1105000</v>
      </c>
      <c r="J67" s="274">
        <v>94.44</v>
      </c>
      <c r="K67" s="280"/>
      <c r="L67" s="252">
        <v>1105000</v>
      </c>
      <c r="M67" s="272"/>
      <c r="N67" s="272"/>
      <c r="O67" s="272"/>
    </row>
    <row r="68" ht="15.75" customHeight="1" spans="1:15">
      <c r="A68" s="251" t="s">
        <v>437</v>
      </c>
      <c r="B68" s="247" t="s">
        <v>438</v>
      </c>
      <c r="C68" s="270"/>
      <c r="D68" s="270"/>
      <c r="E68" s="270"/>
      <c r="F68" s="252">
        <v>2000000</v>
      </c>
      <c r="G68" s="252"/>
      <c r="H68" s="252"/>
      <c r="I68" s="275">
        <v>59872</v>
      </c>
      <c r="J68" s="274">
        <v>0</v>
      </c>
      <c r="K68" s="280"/>
      <c r="L68" s="275">
        <v>59872</v>
      </c>
      <c r="M68" s="272"/>
      <c r="N68" s="272"/>
      <c r="O68" s="272"/>
    </row>
    <row r="69" ht="15.75" customHeight="1" spans="1:15">
      <c r="A69" s="251" t="s">
        <v>439</v>
      </c>
      <c r="B69" s="247" t="s">
        <v>440</v>
      </c>
      <c r="C69" s="270"/>
      <c r="D69" s="270"/>
      <c r="E69" s="270"/>
      <c r="F69" s="252">
        <v>500000</v>
      </c>
      <c r="G69" s="252"/>
      <c r="H69" s="252"/>
      <c r="I69" s="252">
        <v>331930</v>
      </c>
      <c r="J69" s="274">
        <v>38.54</v>
      </c>
      <c r="K69" s="280"/>
      <c r="L69" s="252">
        <v>331930</v>
      </c>
      <c r="M69" s="272"/>
      <c r="N69" s="272"/>
      <c r="O69" s="272"/>
    </row>
    <row r="70" ht="15.75" customHeight="1" spans="1:15">
      <c r="A70" s="249" t="s">
        <v>441</v>
      </c>
      <c r="B70" s="266" t="s">
        <v>239</v>
      </c>
      <c r="C70" s="270"/>
      <c r="D70" s="270"/>
      <c r="E70" s="270"/>
      <c r="F70" s="250">
        <f>SUM(F71:F72)</f>
        <v>300000</v>
      </c>
      <c r="G70" s="250">
        <f t="shared" ref="G70:O70" si="21">SUM(G71:G72)</f>
        <v>0</v>
      </c>
      <c r="H70" s="250">
        <f t="shared" si="21"/>
        <v>0</v>
      </c>
      <c r="I70" s="250">
        <f t="shared" si="21"/>
        <v>300000</v>
      </c>
      <c r="J70" s="250"/>
      <c r="K70" s="278">
        <f t="shared" si="21"/>
        <v>0</v>
      </c>
      <c r="L70" s="279">
        <f t="shared" si="21"/>
        <v>300000</v>
      </c>
      <c r="M70" s="279">
        <f t="shared" si="21"/>
        <v>0</v>
      </c>
      <c r="N70" s="279">
        <f t="shared" si="21"/>
        <v>0</v>
      </c>
      <c r="O70" s="279">
        <f t="shared" si="21"/>
        <v>0</v>
      </c>
    </row>
    <row r="71" ht="15.75" customHeight="1" spans="1:15">
      <c r="A71" s="251" t="s">
        <v>442</v>
      </c>
      <c r="B71" s="247" t="s">
        <v>443</v>
      </c>
      <c r="C71" s="270"/>
      <c r="D71" s="270"/>
      <c r="E71" s="270"/>
      <c r="F71" s="252">
        <v>300000</v>
      </c>
      <c r="G71" s="252"/>
      <c r="H71" s="252"/>
      <c r="I71" s="275">
        <v>300000</v>
      </c>
      <c r="J71" s="274">
        <v>0</v>
      </c>
      <c r="K71" s="280"/>
      <c r="L71" s="275">
        <v>300000</v>
      </c>
      <c r="M71" s="272"/>
      <c r="N71" s="272"/>
      <c r="O71" s="272"/>
    </row>
    <row r="72" customHeight="1" spans="1:15">
      <c r="A72" s="251"/>
      <c r="B72" s="247"/>
      <c r="C72" s="270"/>
      <c r="D72" s="270"/>
      <c r="E72" s="270"/>
      <c r="F72" s="252"/>
      <c r="G72" s="252"/>
      <c r="H72" s="252"/>
      <c r="I72" s="252"/>
      <c r="J72" s="274"/>
      <c r="K72" s="292"/>
      <c r="L72" s="302"/>
      <c r="M72" s="272"/>
      <c r="N72" s="272"/>
      <c r="O72" s="272"/>
    </row>
    <row r="73" ht="15.5" customHeight="1" spans="1:15">
      <c r="A73" s="246" t="s">
        <v>444</v>
      </c>
      <c r="B73" s="247" t="s">
        <v>445</v>
      </c>
      <c r="C73" s="270"/>
      <c r="D73" s="270"/>
      <c r="E73" s="270"/>
      <c r="F73" s="248">
        <f>F74</f>
        <v>61047780</v>
      </c>
      <c r="G73" s="248">
        <f t="shared" ref="G73:O75" si="22">G74</f>
        <v>0</v>
      </c>
      <c r="H73" s="248">
        <f t="shared" si="22"/>
        <v>0</v>
      </c>
      <c r="I73" s="248">
        <f t="shared" si="22"/>
        <v>61047780</v>
      </c>
      <c r="J73" s="248"/>
      <c r="K73" s="276">
        <f t="shared" si="22"/>
        <v>0</v>
      </c>
      <c r="L73" s="277">
        <f t="shared" si="22"/>
        <v>61047780</v>
      </c>
      <c r="M73" s="277">
        <f t="shared" si="22"/>
        <v>0</v>
      </c>
      <c r="N73" s="277">
        <f t="shared" si="22"/>
        <v>0</v>
      </c>
      <c r="O73" s="277">
        <f t="shared" si="22"/>
        <v>0</v>
      </c>
    </row>
    <row r="74" ht="16.75" customHeight="1" spans="1:15">
      <c r="A74" s="246" t="s">
        <v>384</v>
      </c>
      <c r="B74" s="247" t="s">
        <v>195</v>
      </c>
      <c r="C74" s="270"/>
      <c r="D74" s="270"/>
      <c r="E74" s="270"/>
      <c r="F74" s="248">
        <f>F75</f>
        <v>61047780</v>
      </c>
      <c r="G74" s="248">
        <f t="shared" si="22"/>
        <v>0</v>
      </c>
      <c r="H74" s="248">
        <f t="shared" si="22"/>
        <v>0</v>
      </c>
      <c r="I74" s="248">
        <f t="shared" si="22"/>
        <v>61047780</v>
      </c>
      <c r="J74" s="248"/>
      <c r="K74" s="276">
        <f t="shared" si="22"/>
        <v>0</v>
      </c>
      <c r="L74" s="277">
        <f t="shared" si="22"/>
        <v>61047780</v>
      </c>
      <c r="M74" s="277">
        <f t="shared" si="22"/>
        <v>0</v>
      </c>
      <c r="N74" s="277">
        <f t="shared" si="22"/>
        <v>0</v>
      </c>
      <c r="O74" s="277">
        <f t="shared" si="22"/>
        <v>0</v>
      </c>
    </row>
    <row r="75" ht="15.5" customHeight="1" spans="1:15">
      <c r="A75" s="249" t="s">
        <v>446</v>
      </c>
      <c r="B75" s="247" t="s">
        <v>447</v>
      </c>
      <c r="C75" s="270"/>
      <c r="D75" s="270"/>
      <c r="E75" s="270"/>
      <c r="F75" s="250">
        <f>F76</f>
        <v>61047780</v>
      </c>
      <c r="G75" s="250">
        <f t="shared" si="22"/>
        <v>0</v>
      </c>
      <c r="H75" s="250">
        <f t="shared" si="22"/>
        <v>0</v>
      </c>
      <c r="I75" s="250">
        <f t="shared" si="22"/>
        <v>61047780</v>
      </c>
      <c r="J75" s="250"/>
      <c r="K75" s="278">
        <f t="shared" si="22"/>
        <v>0</v>
      </c>
      <c r="L75" s="279">
        <f t="shared" si="22"/>
        <v>61047780</v>
      </c>
      <c r="M75" s="279">
        <f t="shared" si="22"/>
        <v>0</v>
      </c>
      <c r="N75" s="279">
        <f t="shared" si="22"/>
        <v>0</v>
      </c>
      <c r="O75" s="279">
        <f t="shared" si="22"/>
        <v>0</v>
      </c>
    </row>
    <row r="76" customHeight="1" spans="1:15">
      <c r="A76" s="251" t="s">
        <v>448</v>
      </c>
      <c r="B76" s="247" t="s">
        <v>449</v>
      </c>
      <c r="C76" s="270"/>
      <c r="D76" s="270"/>
      <c r="E76" s="270"/>
      <c r="F76" s="252">
        <v>61047780</v>
      </c>
      <c r="G76" s="252"/>
      <c r="H76" s="252"/>
      <c r="I76" s="252">
        <v>61047780</v>
      </c>
      <c r="J76" s="274">
        <v>100</v>
      </c>
      <c r="K76" s="292"/>
      <c r="L76" s="252">
        <v>61047780</v>
      </c>
      <c r="M76" s="272"/>
      <c r="N76" s="272"/>
      <c r="O76" s="272"/>
    </row>
    <row r="77" ht="15.25" customHeight="1" spans="1:15">
      <c r="A77" s="246" t="s">
        <v>450</v>
      </c>
      <c r="B77" s="247" t="s">
        <v>451</v>
      </c>
      <c r="C77" s="270"/>
      <c r="D77" s="270"/>
      <c r="E77" s="270"/>
      <c r="F77" s="248">
        <f>F78</f>
        <v>9687136</v>
      </c>
      <c r="G77" s="248">
        <f t="shared" ref="G77:O77" si="23">G78</f>
        <v>0</v>
      </c>
      <c r="H77" s="248">
        <f t="shared" si="23"/>
        <v>0</v>
      </c>
      <c r="I77" s="248">
        <f t="shared" si="23"/>
        <v>9600000</v>
      </c>
      <c r="J77" s="248"/>
      <c r="K77" s="276">
        <f t="shared" si="23"/>
        <v>0</v>
      </c>
      <c r="L77" s="277">
        <f t="shared" si="23"/>
        <v>9600000</v>
      </c>
      <c r="M77" s="277">
        <f t="shared" si="23"/>
        <v>0</v>
      </c>
      <c r="N77" s="277">
        <f t="shared" si="23"/>
        <v>0</v>
      </c>
      <c r="O77" s="277">
        <f t="shared" si="23"/>
        <v>0</v>
      </c>
    </row>
    <row r="78" ht="16.75" customHeight="1" spans="1:15">
      <c r="A78" s="246" t="s">
        <v>411</v>
      </c>
      <c r="B78" s="247" t="s">
        <v>412</v>
      </c>
      <c r="C78" s="270"/>
      <c r="D78" s="270"/>
      <c r="E78" s="270"/>
      <c r="F78" s="248">
        <f>F79+F83+F85</f>
        <v>9687136</v>
      </c>
      <c r="G78" s="248">
        <f t="shared" ref="G78:O78" si="24">G79+G83+G85</f>
        <v>0</v>
      </c>
      <c r="H78" s="248">
        <f t="shared" si="24"/>
        <v>0</v>
      </c>
      <c r="I78" s="248">
        <f t="shared" si="24"/>
        <v>9600000</v>
      </c>
      <c r="J78" s="248"/>
      <c r="K78" s="276">
        <f t="shared" si="24"/>
        <v>0</v>
      </c>
      <c r="L78" s="277">
        <f t="shared" si="24"/>
        <v>9600000</v>
      </c>
      <c r="M78" s="277">
        <f t="shared" si="24"/>
        <v>0</v>
      </c>
      <c r="N78" s="277">
        <f t="shared" si="24"/>
        <v>0</v>
      </c>
      <c r="O78" s="277">
        <f t="shared" si="24"/>
        <v>0</v>
      </c>
    </row>
    <row r="79" ht="15.25" customHeight="1" spans="1:15">
      <c r="A79" s="249" t="s">
        <v>413</v>
      </c>
      <c r="B79" s="247" t="s">
        <v>452</v>
      </c>
      <c r="C79" s="270"/>
      <c r="D79" s="270"/>
      <c r="E79" s="270"/>
      <c r="F79" s="250">
        <f>SUM(F80:F82)</f>
        <v>5687136</v>
      </c>
      <c r="G79" s="250">
        <f t="shared" ref="G79:O79" si="25">SUM(G80:G82)</f>
        <v>0</v>
      </c>
      <c r="H79" s="250">
        <f t="shared" si="25"/>
        <v>0</v>
      </c>
      <c r="I79" s="250">
        <f t="shared" si="25"/>
        <v>5600000</v>
      </c>
      <c r="J79" s="250"/>
      <c r="K79" s="278">
        <f t="shared" si="25"/>
        <v>0</v>
      </c>
      <c r="L79" s="279">
        <f t="shared" si="25"/>
        <v>5600000</v>
      </c>
      <c r="M79" s="279">
        <f t="shared" si="25"/>
        <v>0</v>
      </c>
      <c r="N79" s="279">
        <f t="shared" si="25"/>
        <v>0</v>
      </c>
      <c r="O79" s="279">
        <f t="shared" si="25"/>
        <v>0</v>
      </c>
    </row>
    <row r="80" ht="15.75" customHeight="1" spans="1:15">
      <c r="A80" s="251" t="s">
        <v>415</v>
      </c>
      <c r="B80" s="247" t="s">
        <v>416</v>
      </c>
      <c r="C80" s="270"/>
      <c r="D80" s="270"/>
      <c r="E80" s="270"/>
      <c r="F80" s="252">
        <v>437236</v>
      </c>
      <c r="G80" s="252"/>
      <c r="H80" s="252"/>
      <c r="I80" s="252">
        <v>400000</v>
      </c>
      <c r="J80" s="274">
        <v>100</v>
      </c>
      <c r="K80" s="292"/>
      <c r="L80" s="302">
        <v>400000</v>
      </c>
      <c r="M80" s="272"/>
      <c r="N80" s="272"/>
      <c r="O80" s="272"/>
    </row>
    <row r="81" ht="15.75" customHeight="1" spans="1:15">
      <c r="A81" s="251" t="s">
        <v>419</v>
      </c>
      <c r="B81" s="247" t="s">
        <v>420</v>
      </c>
      <c r="C81" s="270"/>
      <c r="D81" s="270"/>
      <c r="E81" s="270"/>
      <c r="F81" s="252">
        <v>399900</v>
      </c>
      <c r="G81" s="252"/>
      <c r="H81" s="252"/>
      <c r="I81" s="252">
        <v>350000</v>
      </c>
      <c r="J81" s="274">
        <v>100</v>
      </c>
      <c r="K81" s="292"/>
      <c r="L81" s="252">
        <v>350000</v>
      </c>
      <c r="M81" s="272"/>
      <c r="N81" s="272"/>
      <c r="O81" s="272"/>
    </row>
    <row r="82" ht="15.75" customHeight="1" spans="1:15">
      <c r="A82" s="251" t="s">
        <v>421</v>
      </c>
      <c r="B82" s="247" t="s">
        <v>422</v>
      </c>
      <c r="C82" s="270"/>
      <c r="D82" s="270"/>
      <c r="E82" s="270"/>
      <c r="F82" s="252">
        <v>4850000</v>
      </c>
      <c r="G82" s="252"/>
      <c r="H82" s="252"/>
      <c r="I82" s="252">
        <v>4850000</v>
      </c>
      <c r="J82" s="274">
        <v>100</v>
      </c>
      <c r="K82" s="292"/>
      <c r="L82" s="252">
        <v>4850000</v>
      </c>
      <c r="M82" s="272"/>
      <c r="N82" s="272"/>
      <c r="O82" s="272"/>
    </row>
    <row r="83" ht="16.25" customHeight="1" spans="1:15">
      <c r="A83" s="249" t="s">
        <v>425</v>
      </c>
      <c r="B83" s="247" t="s">
        <v>453</v>
      </c>
      <c r="C83" s="270"/>
      <c r="D83" s="270"/>
      <c r="E83" s="270"/>
      <c r="F83" s="250">
        <f>F84</f>
        <v>2700000</v>
      </c>
      <c r="G83" s="250"/>
      <c r="H83" s="250"/>
      <c r="I83" s="250">
        <f t="shared" ref="I83:O83" si="26">I84</f>
        <v>2700000</v>
      </c>
      <c r="J83" s="250"/>
      <c r="K83" s="278">
        <f t="shared" si="26"/>
        <v>0</v>
      </c>
      <c r="L83" s="279">
        <f t="shared" si="26"/>
        <v>2700000</v>
      </c>
      <c r="M83" s="279">
        <f t="shared" si="26"/>
        <v>0</v>
      </c>
      <c r="N83" s="279">
        <f t="shared" si="26"/>
        <v>0</v>
      </c>
      <c r="O83" s="279">
        <f t="shared" si="26"/>
        <v>0</v>
      </c>
    </row>
    <row r="84" ht="17.75" customHeight="1" spans="1:15">
      <c r="A84" s="267" t="s">
        <v>429</v>
      </c>
      <c r="B84" s="242" t="s">
        <v>454</v>
      </c>
      <c r="C84" s="268"/>
      <c r="D84" s="268"/>
      <c r="E84" s="268"/>
      <c r="F84" s="269">
        <v>2700000</v>
      </c>
      <c r="G84" s="269"/>
      <c r="H84" s="269"/>
      <c r="I84" s="269">
        <v>2700000</v>
      </c>
      <c r="J84" s="293">
        <v>100</v>
      </c>
      <c r="K84" s="294"/>
      <c r="L84" s="302">
        <v>2700000</v>
      </c>
      <c r="M84" s="272"/>
      <c r="N84" s="272"/>
      <c r="O84" s="272"/>
    </row>
    <row r="85" ht="15.75" customHeight="1" spans="1:15">
      <c r="A85" s="249" t="s">
        <v>455</v>
      </c>
      <c r="B85" s="247" t="s">
        <v>456</v>
      </c>
      <c r="C85" s="270"/>
      <c r="D85" s="270"/>
      <c r="E85" s="270"/>
      <c r="F85" s="250">
        <f>SUM(F86:F86)</f>
        <v>1300000</v>
      </c>
      <c r="G85" s="250"/>
      <c r="H85" s="250"/>
      <c r="I85" s="250">
        <f t="shared" ref="I85:O85" si="27">SUM(I86:I86)</f>
        <v>1300000</v>
      </c>
      <c r="J85" s="250"/>
      <c r="K85" s="278">
        <f t="shared" si="27"/>
        <v>0</v>
      </c>
      <c r="L85" s="279">
        <f t="shared" si="27"/>
        <v>1300000</v>
      </c>
      <c r="M85" s="279">
        <f t="shared" si="27"/>
        <v>0</v>
      </c>
      <c r="N85" s="279">
        <f t="shared" si="27"/>
        <v>0</v>
      </c>
      <c r="O85" s="279">
        <f t="shared" si="27"/>
        <v>0</v>
      </c>
    </row>
    <row r="86" ht="15.75" customHeight="1" spans="1:15">
      <c r="A86" s="251" t="s">
        <v>457</v>
      </c>
      <c r="B86" s="247" t="s">
        <v>458</v>
      </c>
      <c r="C86" s="270"/>
      <c r="D86" s="270"/>
      <c r="E86" s="270"/>
      <c r="F86" s="252">
        <v>1300000</v>
      </c>
      <c r="G86" s="252"/>
      <c r="H86" s="252"/>
      <c r="I86" s="252">
        <v>1300000</v>
      </c>
      <c r="J86" s="274">
        <v>100</v>
      </c>
      <c r="K86" s="292"/>
      <c r="L86" s="252">
        <v>1300000</v>
      </c>
      <c r="M86" s="272"/>
      <c r="N86" s="272"/>
      <c r="O86" s="272"/>
    </row>
    <row r="87" s="223" customFormat="1" ht="15.5" customHeight="1" spans="1:15">
      <c r="A87" s="246" t="s">
        <v>459</v>
      </c>
      <c r="B87" s="266" t="s">
        <v>460</v>
      </c>
      <c r="C87" s="296"/>
      <c r="D87" s="296"/>
      <c r="E87" s="296"/>
      <c r="F87" s="248">
        <f>F88</f>
        <v>2988900</v>
      </c>
      <c r="G87" s="248"/>
      <c r="H87" s="248"/>
      <c r="I87" s="248">
        <f t="shared" ref="I87:O89" si="28">I88</f>
        <v>2988900</v>
      </c>
      <c r="J87" s="248"/>
      <c r="K87" s="276">
        <f t="shared" si="28"/>
        <v>0</v>
      </c>
      <c r="L87" s="277">
        <f t="shared" si="28"/>
        <v>2988900</v>
      </c>
      <c r="M87" s="277">
        <f t="shared" si="28"/>
        <v>0</v>
      </c>
      <c r="N87" s="277">
        <f t="shared" si="28"/>
        <v>0</v>
      </c>
      <c r="O87" s="277">
        <f t="shared" si="28"/>
        <v>0</v>
      </c>
    </row>
    <row r="88" ht="16.75" customHeight="1" spans="1:15">
      <c r="A88" s="246" t="s">
        <v>411</v>
      </c>
      <c r="B88" s="247" t="s">
        <v>412</v>
      </c>
      <c r="C88" s="270"/>
      <c r="D88" s="270"/>
      <c r="E88" s="270"/>
      <c r="F88" s="248">
        <f>F89</f>
        <v>2988900</v>
      </c>
      <c r="G88" s="248"/>
      <c r="H88" s="248"/>
      <c r="I88" s="248">
        <f t="shared" si="28"/>
        <v>2988900</v>
      </c>
      <c r="J88" s="248"/>
      <c r="K88" s="276">
        <f t="shared" si="28"/>
        <v>0</v>
      </c>
      <c r="L88" s="277">
        <f t="shared" si="28"/>
        <v>2988900</v>
      </c>
      <c r="M88" s="277">
        <f t="shared" si="28"/>
        <v>0</v>
      </c>
      <c r="N88" s="277">
        <f t="shared" si="28"/>
        <v>0</v>
      </c>
      <c r="O88" s="277">
        <f t="shared" si="28"/>
        <v>0</v>
      </c>
    </row>
    <row r="89" ht="15.5" customHeight="1" spans="1:15">
      <c r="A89" s="249" t="s">
        <v>413</v>
      </c>
      <c r="B89" s="247" t="s">
        <v>461</v>
      </c>
      <c r="C89" s="270"/>
      <c r="D89" s="270"/>
      <c r="E89" s="270"/>
      <c r="F89" s="250">
        <f>F90</f>
        <v>2988900</v>
      </c>
      <c r="G89" s="250"/>
      <c r="H89" s="250"/>
      <c r="I89" s="250">
        <f t="shared" si="28"/>
        <v>2988900</v>
      </c>
      <c r="J89" s="250"/>
      <c r="K89" s="278">
        <f t="shared" si="28"/>
        <v>0</v>
      </c>
      <c r="L89" s="279">
        <f t="shared" si="28"/>
        <v>2988900</v>
      </c>
      <c r="M89" s="279">
        <f t="shared" si="28"/>
        <v>0</v>
      </c>
      <c r="N89" s="279">
        <f t="shared" si="28"/>
        <v>0</v>
      </c>
      <c r="O89" s="279">
        <f t="shared" si="28"/>
        <v>0</v>
      </c>
    </row>
    <row r="90" customHeight="1" spans="1:15">
      <c r="A90" s="251" t="s">
        <v>421</v>
      </c>
      <c r="B90" s="247" t="s">
        <v>462</v>
      </c>
      <c r="C90" s="270"/>
      <c r="D90" s="270"/>
      <c r="E90" s="270"/>
      <c r="F90" s="252">
        <v>2988900</v>
      </c>
      <c r="G90" s="252"/>
      <c r="H90" s="252"/>
      <c r="I90" s="252">
        <v>2988900</v>
      </c>
      <c r="J90" s="274">
        <v>100</v>
      </c>
      <c r="K90" s="280"/>
      <c r="L90" s="252">
        <v>2988900</v>
      </c>
      <c r="M90" s="272"/>
      <c r="N90" s="272"/>
      <c r="O90" s="272"/>
    </row>
    <row r="91" ht="15.25" customHeight="1" spans="1:15">
      <c r="A91" s="246" t="s">
        <v>463</v>
      </c>
      <c r="B91" s="247" t="s">
        <v>464</v>
      </c>
      <c r="C91" s="270"/>
      <c r="D91" s="270"/>
      <c r="E91" s="270"/>
      <c r="F91" s="248">
        <f>F92</f>
        <v>25410000</v>
      </c>
      <c r="G91" s="248"/>
      <c r="H91" s="248"/>
      <c r="I91" s="248">
        <f t="shared" ref="I91:N92" si="29">I92</f>
        <v>25410000</v>
      </c>
      <c r="J91" s="248"/>
      <c r="K91" s="276">
        <f t="shared" si="29"/>
        <v>25410000</v>
      </c>
      <c r="L91" s="277">
        <f t="shared" si="29"/>
        <v>0</v>
      </c>
      <c r="M91" s="277">
        <f t="shared" si="29"/>
        <v>0</v>
      </c>
      <c r="N91" s="277">
        <f t="shared" si="29"/>
        <v>0</v>
      </c>
      <c r="O91" s="277">
        <f>O92</f>
        <v>0</v>
      </c>
    </row>
    <row r="92" ht="16.75" customHeight="1" spans="1:15">
      <c r="A92" s="246" t="s">
        <v>411</v>
      </c>
      <c r="B92" s="247" t="s">
        <v>412</v>
      </c>
      <c r="C92" s="270"/>
      <c r="D92" s="270"/>
      <c r="E92" s="270"/>
      <c r="F92" s="248">
        <f>F93</f>
        <v>25410000</v>
      </c>
      <c r="G92" s="248"/>
      <c r="H92" s="248"/>
      <c r="I92" s="248">
        <f t="shared" si="29"/>
        <v>25410000</v>
      </c>
      <c r="J92" s="248"/>
      <c r="K92" s="276">
        <f t="shared" si="29"/>
        <v>25410000</v>
      </c>
      <c r="L92" s="277">
        <f t="shared" si="29"/>
        <v>0</v>
      </c>
      <c r="M92" s="277">
        <f t="shared" si="29"/>
        <v>0</v>
      </c>
      <c r="N92" s="277">
        <f t="shared" si="29"/>
        <v>0</v>
      </c>
      <c r="O92" s="277">
        <f t="shared" ref="O92" si="30">O93</f>
        <v>0</v>
      </c>
    </row>
    <row r="93" ht="15.25" customHeight="1" spans="1:15">
      <c r="A93" s="249" t="s">
        <v>413</v>
      </c>
      <c r="B93" s="247" t="s">
        <v>452</v>
      </c>
      <c r="C93" s="270"/>
      <c r="D93" s="270"/>
      <c r="E93" s="270"/>
      <c r="F93" s="250">
        <f>F94+F95</f>
        <v>25410000</v>
      </c>
      <c r="G93" s="250"/>
      <c r="H93" s="250"/>
      <c r="I93" s="250">
        <f t="shared" ref="I93:O93" si="31">I94+I95</f>
        <v>25410000</v>
      </c>
      <c r="J93" s="250"/>
      <c r="K93" s="278">
        <f t="shared" si="31"/>
        <v>25410000</v>
      </c>
      <c r="L93" s="279">
        <f t="shared" si="31"/>
        <v>0</v>
      </c>
      <c r="M93" s="279">
        <f t="shared" si="31"/>
        <v>0</v>
      </c>
      <c r="N93" s="279">
        <f t="shared" si="31"/>
        <v>0</v>
      </c>
      <c r="O93" s="279">
        <f t="shared" si="31"/>
        <v>0</v>
      </c>
    </row>
    <row r="94" ht="15.75" customHeight="1" spans="1:15">
      <c r="A94" s="251" t="s">
        <v>415</v>
      </c>
      <c r="B94" s="247" t="s">
        <v>416</v>
      </c>
      <c r="C94" s="270"/>
      <c r="D94" s="270"/>
      <c r="E94" s="270"/>
      <c r="F94" s="252">
        <v>5400000</v>
      </c>
      <c r="G94" s="252"/>
      <c r="H94" s="252"/>
      <c r="I94" s="252">
        <v>5400000</v>
      </c>
      <c r="J94" s="274">
        <v>100</v>
      </c>
      <c r="K94" s="252">
        <v>5400000</v>
      </c>
      <c r="L94" s="272"/>
      <c r="M94" s="272"/>
      <c r="N94" s="272"/>
      <c r="O94" s="272"/>
    </row>
    <row r="95" ht="15.25" customHeight="1" spans="1:15">
      <c r="A95" s="251" t="s">
        <v>421</v>
      </c>
      <c r="B95" s="247" t="s">
        <v>465</v>
      </c>
      <c r="C95" s="270"/>
      <c r="D95" s="270"/>
      <c r="E95" s="270"/>
      <c r="F95" s="252">
        <v>20010000</v>
      </c>
      <c r="G95" s="252"/>
      <c r="H95" s="252"/>
      <c r="I95" s="252">
        <v>20010000</v>
      </c>
      <c r="J95" s="274">
        <v>100</v>
      </c>
      <c r="K95" s="252">
        <v>20010000</v>
      </c>
      <c r="L95" s="272"/>
      <c r="M95" s="272"/>
      <c r="N95" s="272"/>
      <c r="O95" s="272"/>
    </row>
    <row r="96" ht="15" customHeight="1" spans="1:15">
      <c r="A96" s="246" t="s">
        <v>466</v>
      </c>
      <c r="B96" s="297" t="s">
        <v>467</v>
      </c>
      <c r="C96" s="248">
        <v>42131886</v>
      </c>
      <c r="D96" s="270"/>
      <c r="E96" s="270"/>
      <c r="F96" s="248">
        <f>F97+F102+F107+F114+F120+F124</f>
        <v>46359400</v>
      </c>
      <c r="G96" s="248">
        <f t="shared" ref="G96:O96" si="32">G97+G102+G107+G114+G120+G124</f>
        <v>0</v>
      </c>
      <c r="H96" s="248">
        <f t="shared" si="32"/>
        <v>0</v>
      </c>
      <c r="I96" s="248">
        <f t="shared" si="32"/>
        <v>37707500</v>
      </c>
      <c r="J96" s="248">
        <f t="shared" si="32"/>
        <v>0</v>
      </c>
      <c r="K96" s="248">
        <f t="shared" si="32"/>
        <v>0</v>
      </c>
      <c r="L96" s="248">
        <f t="shared" si="32"/>
        <v>27050000</v>
      </c>
      <c r="M96" s="248">
        <f t="shared" si="32"/>
        <v>7750000</v>
      </c>
      <c r="N96" s="248">
        <f t="shared" si="32"/>
        <v>2907500</v>
      </c>
      <c r="O96" s="248">
        <f t="shared" si="32"/>
        <v>0</v>
      </c>
    </row>
    <row r="97" ht="16" customHeight="1" spans="1:15">
      <c r="A97" s="246" t="s">
        <v>468</v>
      </c>
      <c r="B97" s="266" t="s">
        <v>469</v>
      </c>
      <c r="C97" s="270"/>
      <c r="D97" s="270"/>
      <c r="E97" s="270"/>
      <c r="F97" s="248">
        <f>F98</f>
        <v>9561600</v>
      </c>
      <c r="G97" s="248"/>
      <c r="H97" s="248"/>
      <c r="I97" s="248">
        <f t="shared" ref="I97:O99" si="33">I98</f>
        <v>9550000</v>
      </c>
      <c r="J97" s="248"/>
      <c r="K97" s="276">
        <f t="shared" si="33"/>
        <v>0</v>
      </c>
      <c r="L97" s="277">
        <f t="shared" si="33"/>
        <v>9550000</v>
      </c>
      <c r="M97" s="277">
        <f t="shared" si="33"/>
        <v>0</v>
      </c>
      <c r="N97" s="277">
        <f t="shared" si="33"/>
        <v>0</v>
      </c>
      <c r="O97" s="277">
        <f t="shared" si="33"/>
        <v>0</v>
      </c>
    </row>
    <row r="98" ht="17" customHeight="1" spans="1:15">
      <c r="A98" s="246" t="s">
        <v>470</v>
      </c>
      <c r="B98" s="247" t="s">
        <v>197</v>
      </c>
      <c r="C98" s="270"/>
      <c r="D98" s="270"/>
      <c r="E98" s="270"/>
      <c r="F98" s="248">
        <f>F99</f>
        <v>9561600</v>
      </c>
      <c r="G98" s="248"/>
      <c r="H98" s="248"/>
      <c r="I98" s="248">
        <f t="shared" si="33"/>
        <v>9550000</v>
      </c>
      <c r="J98" s="248"/>
      <c r="K98" s="276">
        <f t="shared" si="33"/>
        <v>0</v>
      </c>
      <c r="L98" s="277">
        <f t="shared" si="33"/>
        <v>9550000</v>
      </c>
      <c r="M98" s="277">
        <f t="shared" si="33"/>
        <v>0</v>
      </c>
      <c r="N98" s="277">
        <f t="shared" si="33"/>
        <v>0</v>
      </c>
      <c r="O98" s="277">
        <f t="shared" si="33"/>
        <v>0</v>
      </c>
    </row>
    <row r="99" ht="15.25" customHeight="1" spans="1:15">
      <c r="A99" s="249" t="s">
        <v>471</v>
      </c>
      <c r="B99" s="247" t="s">
        <v>472</v>
      </c>
      <c r="C99" s="270"/>
      <c r="D99" s="270"/>
      <c r="E99" s="270"/>
      <c r="F99" s="250">
        <f>SUM(F100:F101)</f>
        <v>9561600</v>
      </c>
      <c r="G99" s="250">
        <f t="shared" ref="G99:O99" si="34">SUM(G100:G101)</f>
        <v>0</v>
      </c>
      <c r="H99" s="250">
        <f t="shared" si="34"/>
        <v>0</v>
      </c>
      <c r="I99" s="250">
        <f t="shared" si="34"/>
        <v>9550000</v>
      </c>
      <c r="J99" s="250">
        <f t="shared" si="34"/>
        <v>90.43</v>
      </c>
      <c r="K99" s="250">
        <f t="shared" si="34"/>
        <v>0</v>
      </c>
      <c r="L99" s="250">
        <f t="shared" si="34"/>
        <v>9550000</v>
      </c>
      <c r="M99" s="250">
        <f t="shared" si="34"/>
        <v>0</v>
      </c>
      <c r="N99" s="250">
        <f t="shared" si="34"/>
        <v>0</v>
      </c>
      <c r="O99" s="250">
        <f t="shared" si="34"/>
        <v>0</v>
      </c>
    </row>
    <row r="100" customHeight="1" spans="1:15">
      <c r="A100" s="251" t="s">
        <v>473</v>
      </c>
      <c r="B100" s="247" t="s">
        <v>474</v>
      </c>
      <c r="C100" s="270"/>
      <c r="D100" s="270"/>
      <c r="E100" s="270"/>
      <c r="F100" s="252">
        <v>2350000</v>
      </c>
      <c r="G100" s="252"/>
      <c r="H100" s="252"/>
      <c r="I100" s="252">
        <v>2350000</v>
      </c>
      <c r="J100" s="274">
        <v>90.43</v>
      </c>
      <c r="K100" s="280"/>
      <c r="L100" s="252">
        <v>2350000</v>
      </c>
      <c r="M100" s="272"/>
      <c r="N100" s="272"/>
      <c r="O100" s="302"/>
    </row>
    <row r="101" ht="15.5" customHeight="1" spans="1:15">
      <c r="A101" s="246" t="s">
        <v>475</v>
      </c>
      <c r="B101" s="247" t="s">
        <v>476</v>
      </c>
      <c r="C101" s="270"/>
      <c r="D101" s="270"/>
      <c r="E101" s="270"/>
      <c r="F101" s="252">
        <v>7211600</v>
      </c>
      <c r="G101" s="248"/>
      <c r="H101" s="248"/>
      <c r="I101" s="252">
        <v>7200000</v>
      </c>
      <c r="J101" s="248"/>
      <c r="K101" s="276"/>
      <c r="L101" s="252">
        <v>7200000</v>
      </c>
      <c r="M101" s="277"/>
      <c r="N101" s="277"/>
      <c r="O101" s="277"/>
    </row>
    <row r="102" ht="15.25" customHeight="1" spans="1:15">
      <c r="A102" s="246" t="s">
        <v>477</v>
      </c>
      <c r="B102" s="266" t="s">
        <v>478</v>
      </c>
      <c r="C102" s="270"/>
      <c r="D102" s="270"/>
      <c r="E102" s="270"/>
      <c r="F102" s="248">
        <f>F103</f>
        <v>18750000</v>
      </c>
      <c r="G102" s="248"/>
      <c r="H102" s="248"/>
      <c r="I102" s="248">
        <f t="shared" ref="I102:O104" si="35">I103</f>
        <v>12750000</v>
      </c>
      <c r="J102" s="248"/>
      <c r="K102" s="276">
        <f t="shared" si="35"/>
        <v>0</v>
      </c>
      <c r="L102" s="277">
        <f t="shared" si="35"/>
        <v>5000000</v>
      </c>
      <c r="M102" s="277">
        <f t="shared" si="35"/>
        <v>7750000</v>
      </c>
      <c r="N102" s="277">
        <f t="shared" si="35"/>
        <v>0</v>
      </c>
      <c r="O102" s="277">
        <f t="shared" si="35"/>
        <v>0</v>
      </c>
    </row>
    <row r="103" ht="17" customHeight="1" spans="1:15">
      <c r="A103" s="246" t="s">
        <v>479</v>
      </c>
      <c r="B103" s="266" t="s">
        <v>480</v>
      </c>
      <c r="C103" s="270"/>
      <c r="D103" s="270"/>
      <c r="E103" s="270"/>
      <c r="F103" s="248">
        <f>F104</f>
        <v>18750000</v>
      </c>
      <c r="G103" s="248"/>
      <c r="H103" s="248"/>
      <c r="I103" s="248">
        <f t="shared" si="35"/>
        <v>12750000</v>
      </c>
      <c r="J103" s="248"/>
      <c r="K103" s="276">
        <f t="shared" si="35"/>
        <v>0</v>
      </c>
      <c r="L103" s="277">
        <f t="shared" si="35"/>
        <v>5000000</v>
      </c>
      <c r="M103" s="277">
        <f t="shared" si="35"/>
        <v>7750000</v>
      </c>
      <c r="N103" s="277">
        <f t="shared" si="35"/>
        <v>0</v>
      </c>
      <c r="O103" s="277">
        <f t="shared" si="35"/>
        <v>0</v>
      </c>
    </row>
    <row r="104" ht="15.25" customHeight="1" spans="1:15">
      <c r="A104" s="249" t="s">
        <v>471</v>
      </c>
      <c r="B104" s="266" t="s">
        <v>481</v>
      </c>
      <c r="C104" s="270"/>
      <c r="D104" s="270"/>
      <c r="E104" s="270"/>
      <c r="F104" s="250">
        <f>F105+F106</f>
        <v>18750000</v>
      </c>
      <c r="G104" s="250">
        <f t="shared" ref="G104:O104" si="36">G105+G106</f>
        <v>0</v>
      </c>
      <c r="H104" s="250">
        <f t="shared" si="36"/>
        <v>0</v>
      </c>
      <c r="I104" s="250">
        <f t="shared" si="36"/>
        <v>12750000</v>
      </c>
      <c r="J104" s="250">
        <f t="shared" si="36"/>
        <v>100</v>
      </c>
      <c r="K104" s="250">
        <f t="shared" si="36"/>
        <v>0</v>
      </c>
      <c r="L104" s="250">
        <f t="shared" si="36"/>
        <v>5000000</v>
      </c>
      <c r="M104" s="250">
        <f t="shared" si="36"/>
        <v>7750000</v>
      </c>
      <c r="N104" s="250">
        <f t="shared" si="36"/>
        <v>0</v>
      </c>
      <c r="O104" s="250">
        <f t="shared" si="36"/>
        <v>0</v>
      </c>
    </row>
    <row r="105" ht="16.25" customHeight="1" spans="1:17">
      <c r="A105" s="251" t="s">
        <v>473</v>
      </c>
      <c r="B105" s="247" t="s">
        <v>482</v>
      </c>
      <c r="C105" s="270"/>
      <c r="D105" s="270"/>
      <c r="E105" s="270"/>
      <c r="F105" s="252">
        <v>6750000</v>
      </c>
      <c r="G105" s="252"/>
      <c r="H105" s="252"/>
      <c r="I105" s="252">
        <v>6750000</v>
      </c>
      <c r="J105" s="274">
        <v>100</v>
      </c>
      <c r="K105" s="292"/>
      <c r="L105" s="303">
        <v>1000000</v>
      </c>
      <c r="M105" s="272">
        <v>5750000</v>
      </c>
      <c r="N105" s="272"/>
      <c r="O105" s="302"/>
      <c r="Q105" s="295"/>
    </row>
    <row r="106" ht="16.75" customHeight="1" spans="1:15">
      <c r="A106" s="246" t="s">
        <v>475</v>
      </c>
      <c r="B106" s="247" t="s">
        <v>476</v>
      </c>
      <c r="C106" s="270"/>
      <c r="D106" s="270"/>
      <c r="E106" s="270"/>
      <c r="F106" s="252">
        <v>12000000</v>
      </c>
      <c r="G106" s="248"/>
      <c r="H106" s="248"/>
      <c r="I106" s="252">
        <v>6000000</v>
      </c>
      <c r="J106" s="248"/>
      <c r="K106" s="276"/>
      <c r="L106" s="277">
        <v>4000000</v>
      </c>
      <c r="M106" s="277">
        <v>2000000</v>
      </c>
      <c r="N106" s="277"/>
      <c r="O106" s="277"/>
    </row>
    <row r="107" s="223" customFormat="1" ht="16.75" customHeight="1" spans="1:15">
      <c r="A107" s="246" t="s">
        <v>483</v>
      </c>
      <c r="B107" s="266" t="s">
        <v>484</v>
      </c>
      <c r="C107" s="296"/>
      <c r="D107" s="296"/>
      <c r="E107" s="296"/>
      <c r="F107" s="248">
        <f>F108+F111</f>
        <v>5500000</v>
      </c>
      <c r="G107" s="248">
        <f t="shared" ref="G107:O107" si="37">G108+G111</f>
        <v>0</v>
      </c>
      <c r="H107" s="248">
        <f t="shared" si="37"/>
        <v>0</v>
      </c>
      <c r="I107" s="248">
        <f t="shared" si="37"/>
        <v>5500000</v>
      </c>
      <c r="J107" s="248">
        <f t="shared" si="37"/>
        <v>0</v>
      </c>
      <c r="K107" s="248">
        <f t="shared" si="37"/>
        <v>0</v>
      </c>
      <c r="L107" s="248">
        <f t="shared" si="37"/>
        <v>5500000</v>
      </c>
      <c r="M107" s="248">
        <f t="shared" si="37"/>
        <v>0</v>
      </c>
      <c r="N107" s="248">
        <f t="shared" si="37"/>
        <v>0</v>
      </c>
      <c r="O107" s="248">
        <f t="shared" si="37"/>
        <v>0</v>
      </c>
    </row>
    <row r="108" s="223" customFormat="1" ht="16.75" customHeight="1" spans="1:15">
      <c r="A108" s="246" t="s">
        <v>485</v>
      </c>
      <c r="B108" s="266" t="s">
        <v>196</v>
      </c>
      <c r="C108" s="296"/>
      <c r="D108" s="296"/>
      <c r="E108" s="296"/>
      <c r="F108" s="248">
        <f>F109</f>
        <v>2500000</v>
      </c>
      <c r="G108" s="248">
        <f t="shared" ref="G108:O108" si="38">G109</f>
        <v>0</v>
      </c>
      <c r="H108" s="248">
        <f t="shared" si="38"/>
        <v>0</v>
      </c>
      <c r="I108" s="248">
        <f t="shared" si="38"/>
        <v>2500000</v>
      </c>
      <c r="J108" s="248">
        <f t="shared" si="38"/>
        <v>0</v>
      </c>
      <c r="K108" s="248">
        <f t="shared" si="38"/>
        <v>0</v>
      </c>
      <c r="L108" s="248">
        <f t="shared" si="38"/>
        <v>2500000</v>
      </c>
      <c r="M108" s="248">
        <f t="shared" si="38"/>
        <v>0</v>
      </c>
      <c r="N108" s="248">
        <f t="shared" si="38"/>
        <v>0</v>
      </c>
      <c r="O108" s="248">
        <f t="shared" si="38"/>
        <v>0</v>
      </c>
    </row>
    <row r="109" s="223" customFormat="1" ht="16.75" customHeight="1" spans="1:15">
      <c r="A109" s="246" t="s">
        <v>486</v>
      </c>
      <c r="B109" s="266" t="s">
        <v>487</v>
      </c>
      <c r="C109" s="296"/>
      <c r="D109" s="296"/>
      <c r="E109" s="296"/>
      <c r="F109" s="248">
        <f>F110</f>
        <v>2500000</v>
      </c>
      <c r="G109" s="248">
        <f t="shared" ref="G109:O109" si="39">G110</f>
        <v>0</v>
      </c>
      <c r="H109" s="248">
        <f t="shared" si="39"/>
        <v>0</v>
      </c>
      <c r="I109" s="248">
        <f t="shared" si="39"/>
        <v>2500000</v>
      </c>
      <c r="J109" s="248">
        <f t="shared" si="39"/>
        <v>0</v>
      </c>
      <c r="K109" s="248">
        <f t="shared" si="39"/>
        <v>0</v>
      </c>
      <c r="L109" s="248">
        <f t="shared" si="39"/>
        <v>2500000</v>
      </c>
      <c r="M109" s="248">
        <f t="shared" si="39"/>
        <v>0</v>
      </c>
      <c r="N109" s="248">
        <f t="shared" si="39"/>
        <v>0</v>
      </c>
      <c r="O109" s="248">
        <f t="shared" si="39"/>
        <v>0</v>
      </c>
    </row>
    <row r="110" s="224" customFormat="1" ht="16.75" customHeight="1" spans="1:15">
      <c r="A110" s="251" t="s">
        <v>423</v>
      </c>
      <c r="B110" s="247" t="s">
        <v>488</v>
      </c>
      <c r="C110" s="298"/>
      <c r="D110" s="298"/>
      <c r="E110" s="298"/>
      <c r="F110" s="252">
        <v>2500000</v>
      </c>
      <c r="G110" s="252"/>
      <c r="H110" s="252"/>
      <c r="I110" s="252">
        <v>2500000</v>
      </c>
      <c r="J110" s="252"/>
      <c r="K110" s="280"/>
      <c r="L110" s="252">
        <v>2500000</v>
      </c>
      <c r="M110" s="302"/>
      <c r="N110" s="302"/>
      <c r="O110" s="302"/>
    </row>
    <row r="111" s="223" customFormat="1" ht="16.75" customHeight="1" spans="1:15">
      <c r="A111" s="246" t="s">
        <v>470</v>
      </c>
      <c r="B111" s="266" t="s">
        <v>197</v>
      </c>
      <c r="C111" s="296"/>
      <c r="D111" s="296"/>
      <c r="E111" s="296"/>
      <c r="F111" s="248">
        <f>F112</f>
        <v>3000000</v>
      </c>
      <c r="G111" s="248">
        <f t="shared" ref="G111:O111" si="40">G112</f>
        <v>0</v>
      </c>
      <c r="H111" s="248">
        <f t="shared" si="40"/>
        <v>0</v>
      </c>
      <c r="I111" s="248">
        <f t="shared" si="40"/>
        <v>3000000</v>
      </c>
      <c r="J111" s="248">
        <f t="shared" si="40"/>
        <v>0</v>
      </c>
      <c r="K111" s="248">
        <f t="shared" si="40"/>
        <v>0</v>
      </c>
      <c r="L111" s="248">
        <f t="shared" si="40"/>
        <v>3000000</v>
      </c>
      <c r="M111" s="248">
        <f t="shared" si="40"/>
        <v>0</v>
      </c>
      <c r="N111" s="248">
        <f t="shared" si="40"/>
        <v>0</v>
      </c>
      <c r="O111" s="248">
        <f t="shared" si="40"/>
        <v>0</v>
      </c>
    </row>
    <row r="112" s="223" customFormat="1" ht="16.75" customHeight="1" spans="1:15">
      <c r="A112" s="246" t="s">
        <v>489</v>
      </c>
      <c r="B112" s="266" t="s">
        <v>490</v>
      </c>
      <c r="C112" s="296"/>
      <c r="D112" s="296"/>
      <c r="E112" s="296"/>
      <c r="F112" s="248">
        <f>F113</f>
        <v>3000000</v>
      </c>
      <c r="G112" s="248">
        <f t="shared" ref="G112:O112" si="41">G113</f>
        <v>0</v>
      </c>
      <c r="H112" s="248">
        <f t="shared" si="41"/>
        <v>0</v>
      </c>
      <c r="I112" s="248">
        <f t="shared" si="41"/>
        <v>3000000</v>
      </c>
      <c r="J112" s="248">
        <f t="shared" si="41"/>
        <v>0</v>
      </c>
      <c r="K112" s="248">
        <f t="shared" si="41"/>
        <v>0</v>
      </c>
      <c r="L112" s="248">
        <f t="shared" si="41"/>
        <v>3000000</v>
      </c>
      <c r="M112" s="248">
        <f t="shared" si="41"/>
        <v>0</v>
      </c>
      <c r="N112" s="248">
        <f t="shared" si="41"/>
        <v>0</v>
      </c>
      <c r="O112" s="248">
        <f t="shared" si="41"/>
        <v>0</v>
      </c>
    </row>
    <row r="113" s="224" customFormat="1" ht="16.75" customHeight="1" spans="1:15">
      <c r="A113" s="251" t="s">
        <v>491</v>
      </c>
      <c r="B113" s="247" t="s">
        <v>492</v>
      </c>
      <c r="C113" s="298"/>
      <c r="D113" s="298"/>
      <c r="E113" s="298"/>
      <c r="F113" s="252">
        <v>3000000</v>
      </c>
      <c r="G113" s="252"/>
      <c r="H113" s="252"/>
      <c r="I113" s="252">
        <v>3000000</v>
      </c>
      <c r="J113" s="252"/>
      <c r="K113" s="280"/>
      <c r="L113" s="252">
        <v>3000000</v>
      </c>
      <c r="M113" s="302"/>
      <c r="N113" s="302"/>
      <c r="O113" s="302"/>
    </row>
    <row r="114" s="224" customFormat="1" ht="16.75" customHeight="1" spans="1:16">
      <c r="A114" s="246" t="s">
        <v>493</v>
      </c>
      <c r="B114" s="266" t="s">
        <v>494</v>
      </c>
      <c r="C114" s="298"/>
      <c r="D114" s="298"/>
      <c r="E114" s="298"/>
      <c r="F114" s="248">
        <f>F115</f>
        <v>2139000</v>
      </c>
      <c r="G114" s="248">
        <f t="shared" ref="G114:P114" si="42">G115</f>
        <v>0</v>
      </c>
      <c r="H114" s="248">
        <f t="shared" si="42"/>
        <v>0</v>
      </c>
      <c r="I114" s="248">
        <f t="shared" si="42"/>
        <v>7500</v>
      </c>
      <c r="J114" s="248">
        <f t="shared" si="42"/>
        <v>0</v>
      </c>
      <c r="K114" s="248">
        <f t="shared" si="42"/>
        <v>0</v>
      </c>
      <c r="L114" s="248">
        <f t="shared" si="42"/>
        <v>0</v>
      </c>
      <c r="M114" s="248">
        <f t="shared" si="42"/>
        <v>0</v>
      </c>
      <c r="N114" s="248">
        <f t="shared" si="42"/>
        <v>7500</v>
      </c>
      <c r="O114" s="248">
        <f t="shared" si="42"/>
        <v>0</v>
      </c>
      <c r="P114" s="248"/>
    </row>
    <row r="115" s="224" customFormat="1" ht="16.75" customHeight="1" spans="1:15">
      <c r="A115" s="246" t="s">
        <v>485</v>
      </c>
      <c r="B115" s="266" t="s">
        <v>495</v>
      </c>
      <c r="C115" s="298"/>
      <c r="D115" s="298"/>
      <c r="E115" s="298"/>
      <c r="F115" s="248">
        <f>F116+F118</f>
        <v>2139000</v>
      </c>
      <c r="G115" s="248">
        <f t="shared" ref="G115:O115" si="43">G116+G118</f>
        <v>0</v>
      </c>
      <c r="H115" s="248">
        <f t="shared" si="43"/>
        <v>0</v>
      </c>
      <c r="I115" s="248">
        <f t="shared" si="43"/>
        <v>7500</v>
      </c>
      <c r="J115" s="248">
        <f t="shared" si="43"/>
        <v>0</v>
      </c>
      <c r="K115" s="248">
        <f t="shared" si="43"/>
        <v>0</v>
      </c>
      <c r="L115" s="248">
        <f t="shared" si="43"/>
        <v>0</v>
      </c>
      <c r="M115" s="248">
        <f t="shared" si="43"/>
        <v>0</v>
      </c>
      <c r="N115" s="248">
        <f t="shared" si="43"/>
        <v>7500</v>
      </c>
      <c r="O115" s="248">
        <f t="shared" si="43"/>
        <v>0</v>
      </c>
    </row>
    <row r="116" ht="16.75" customHeight="1" spans="1:15">
      <c r="A116" s="246" t="s">
        <v>496</v>
      </c>
      <c r="B116" s="297" t="s">
        <v>238</v>
      </c>
      <c r="C116" s="270"/>
      <c r="D116" s="270"/>
      <c r="E116" s="270"/>
      <c r="F116" s="248">
        <f>F117</f>
        <v>1000000</v>
      </c>
      <c r="G116" s="248">
        <f t="shared" ref="G116:O116" si="44">G117</f>
        <v>0</v>
      </c>
      <c r="H116" s="248">
        <f t="shared" si="44"/>
        <v>0</v>
      </c>
      <c r="I116" s="248">
        <f t="shared" si="44"/>
        <v>7500</v>
      </c>
      <c r="J116" s="248">
        <f t="shared" si="44"/>
        <v>0</v>
      </c>
      <c r="K116" s="248">
        <f t="shared" si="44"/>
        <v>0</v>
      </c>
      <c r="L116" s="248">
        <f t="shared" si="44"/>
        <v>0</v>
      </c>
      <c r="M116" s="248">
        <f t="shared" si="44"/>
        <v>0</v>
      </c>
      <c r="N116" s="248">
        <f t="shared" si="44"/>
        <v>7500</v>
      </c>
      <c r="O116" s="248">
        <f t="shared" si="44"/>
        <v>0</v>
      </c>
    </row>
    <row r="117" s="224" customFormat="1" ht="16.75" customHeight="1" spans="1:15">
      <c r="A117" s="251" t="s">
        <v>497</v>
      </c>
      <c r="B117" s="247" t="s">
        <v>498</v>
      </c>
      <c r="C117" s="298"/>
      <c r="D117" s="298"/>
      <c r="E117" s="298"/>
      <c r="F117" s="252">
        <v>1000000</v>
      </c>
      <c r="G117" s="252"/>
      <c r="H117" s="252"/>
      <c r="I117" s="252">
        <v>7500</v>
      </c>
      <c r="J117" s="252"/>
      <c r="K117" s="280"/>
      <c r="L117" s="302"/>
      <c r="M117" s="252"/>
      <c r="N117" s="252">
        <v>7500</v>
      </c>
      <c r="O117" s="302"/>
    </row>
    <row r="118" ht="16.75" customHeight="1" spans="1:15">
      <c r="A118" s="246" t="s">
        <v>499</v>
      </c>
      <c r="B118" s="297" t="s">
        <v>239</v>
      </c>
      <c r="C118" s="270"/>
      <c r="D118" s="270"/>
      <c r="E118" s="270"/>
      <c r="F118" s="248">
        <f>F119</f>
        <v>1139000</v>
      </c>
      <c r="G118" s="248">
        <f t="shared" ref="G118:O118" si="45">G119</f>
        <v>0</v>
      </c>
      <c r="H118" s="248">
        <f t="shared" si="45"/>
        <v>0</v>
      </c>
      <c r="I118" s="248">
        <f t="shared" si="45"/>
        <v>0</v>
      </c>
      <c r="J118" s="248">
        <f t="shared" si="45"/>
        <v>0</v>
      </c>
      <c r="K118" s="248">
        <f t="shared" si="45"/>
        <v>0</v>
      </c>
      <c r="L118" s="248">
        <f t="shared" si="45"/>
        <v>0</v>
      </c>
      <c r="M118" s="248">
        <f t="shared" si="45"/>
        <v>0</v>
      </c>
      <c r="N118" s="248">
        <f t="shared" si="45"/>
        <v>0</v>
      </c>
      <c r="O118" s="248">
        <f t="shared" si="45"/>
        <v>0</v>
      </c>
    </row>
    <row r="119" s="224" customFormat="1" ht="16.75" customHeight="1" spans="1:15">
      <c r="A119" s="251" t="s">
        <v>500</v>
      </c>
      <c r="B119" s="247" t="s">
        <v>501</v>
      </c>
      <c r="C119" s="298"/>
      <c r="D119" s="298"/>
      <c r="E119" s="298"/>
      <c r="F119" s="252">
        <v>1139000</v>
      </c>
      <c r="G119" s="252"/>
      <c r="H119" s="252"/>
      <c r="I119" s="252"/>
      <c r="J119" s="252"/>
      <c r="K119" s="280"/>
      <c r="L119" s="302"/>
      <c r="M119" s="302"/>
      <c r="N119" s="302"/>
      <c r="O119" s="302"/>
    </row>
    <row r="120" ht="16.75" customHeight="1" spans="1:15">
      <c r="A120" s="246" t="s">
        <v>502</v>
      </c>
      <c r="B120" s="297" t="s">
        <v>503</v>
      </c>
      <c r="C120" s="270"/>
      <c r="D120" s="270"/>
      <c r="E120" s="270"/>
      <c r="F120" s="248">
        <f>F121</f>
        <v>6408800</v>
      </c>
      <c r="G120" s="248">
        <f t="shared" ref="G120:O120" si="46">G121</f>
        <v>0</v>
      </c>
      <c r="H120" s="248">
        <f t="shared" si="46"/>
        <v>0</v>
      </c>
      <c r="I120" s="248">
        <f t="shared" si="46"/>
        <v>5900000</v>
      </c>
      <c r="J120" s="248">
        <f t="shared" si="46"/>
        <v>0</v>
      </c>
      <c r="K120" s="248">
        <f t="shared" si="46"/>
        <v>0</v>
      </c>
      <c r="L120" s="248">
        <f t="shared" si="46"/>
        <v>3000000</v>
      </c>
      <c r="M120" s="248">
        <f t="shared" si="46"/>
        <v>0</v>
      </c>
      <c r="N120" s="248">
        <f t="shared" si="46"/>
        <v>2900000</v>
      </c>
      <c r="O120" s="248">
        <f t="shared" si="46"/>
        <v>0</v>
      </c>
    </row>
    <row r="121" ht="16.75" customHeight="1" spans="1:15">
      <c r="A121" s="246" t="s">
        <v>485</v>
      </c>
      <c r="B121" s="297" t="s">
        <v>196</v>
      </c>
      <c r="C121" s="270"/>
      <c r="D121" s="270"/>
      <c r="E121" s="270"/>
      <c r="F121" s="248">
        <f>F122</f>
        <v>6408800</v>
      </c>
      <c r="G121" s="248">
        <f t="shared" ref="G121:O121" si="47">G122</f>
        <v>0</v>
      </c>
      <c r="H121" s="248">
        <f t="shared" si="47"/>
        <v>0</v>
      </c>
      <c r="I121" s="248">
        <f t="shared" si="47"/>
        <v>5900000</v>
      </c>
      <c r="J121" s="248">
        <f t="shared" si="47"/>
        <v>0</v>
      </c>
      <c r="K121" s="248">
        <f t="shared" si="47"/>
        <v>0</v>
      </c>
      <c r="L121" s="248">
        <f t="shared" si="47"/>
        <v>3000000</v>
      </c>
      <c r="M121" s="248">
        <f t="shared" si="47"/>
        <v>0</v>
      </c>
      <c r="N121" s="248">
        <f t="shared" si="47"/>
        <v>2900000</v>
      </c>
      <c r="O121" s="248">
        <f t="shared" si="47"/>
        <v>0</v>
      </c>
    </row>
    <row r="122" ht="16.75" customHeight="1" spans="1:15">
      <c r="A122" s="246" t="s">
        <v>499</v>
      </c>
      <c r="B122" s="297" t="s">
        <v>239</v>
      </c>
      <c r="C122" s="270"/>
      <c r="D122" s="270"/>
      <c r="E122" s="270"/>
      <c r="F122" s="248">
        <f>F123</f>
        <v>6408800</v>
      </c>
      <c r="G122" s="248">
        <f t="shared" ref="G122:O122" si="48">G123</f>
        <v>0</v>
      </c>
      <c r="H122" s="248">
        <f t="shared" si="48"/>
        <v>0</v>
      </c>
      <c r="I122" s="248">
        <f t="shared" si="48"/>
        <v>5900000</v>
      </c>
      <c r="J122" s="248">
        <f t="shared" si="48"/>
        <v>0</v>
      </c>
      <c r="K122" s="248">
        <f t="shared" si="48"/>
        <v>0</v>
      </c>
      <c r="L122" s="248">
        <f t="shared" si="48"/>
        <v>3000000</v>
      </c>
      <c r="M122" s="248">
        <f t="shared" si="48"/>
        <v>0</v>
      </c>
      <c r="N122" s="248">
        <f t="shared" si="48"/>
        <v>2900000</v>
      </c>
      <c r="O122" s="248">
        <f t="shared" si="48"/>
        <v>0</v>
      </c>
    </row>
    <row r="123" s="224" customFormat="1" ht="16.75" customHeight="1" spans="1:15">
      <c r="A123" s="251" t="s">
        <v>504</v>
      </c>
      <c r="B123" s="247" t="s">
        <v>505</v>
      </c>
      <c r="C123" s="298"/>
      <c r="D123" s="298"/>
      <c r="E123" s="298"/>
      <c r="F123" s="252">
        <v>6408800</v>
      </c>
      <c r="G123" s="252"/>
      <c r="H123" s="252"/>
      <c r="I123" s="252">
        <v>5900000</v>
      </c>
      <c r="J123" s="252"/>
      <c r="K123" s="280"/>
      <c r="L123" s="302">
        <v>3000000</v>
      </c>
      <c r="M123" s="302"/>
      <c r="N123" s="302">
        <v>2900000</v>
      </c>
      <c r="O123" s="302"/>
    </row>
    <row r="124" ht="16.75" customHeight="1" spans="1:15">
      <c r="A124" s="246" t="s">
        <v>506</v>
      </c>
      <c r="B124" s="297" t="s">
        <v>507</v>
      </c>
      <c r="C124" s="270"/>
      <c r="D124" s="270"/>
      <c r="E124" s="270"/>
      <c r="F124" s="248">
        <f>F125</f>
        <v>4000000</v>
      </c>
      <c r="G124" s="248">
        <f t="shared" ref="G124:O124" si="49">G125</f>
        <v>0</v>
      </c>
      <c r="H124" s="248">
        <f t="shared" si="49"/>
        <v>0</v>
      </c>
      <c r="I124" s="248">
        <f t="shared" si="49"/>
        <v>4000000</v>
      </c>
      <c r="J124" s="248">
        <f t="shared" si="49"/>
        <v>0</v>
      </c>
      <c r="K124" s="248">
        <f t="shared" si="49"/>
        <v>0</v>
      </c>
      <c r="L124" s="248">
        <f t="shared" si="49"/>
        <v>4000000</v>
      </c>
      <c r="M124" s="248">
        <f t="shared" si="49"/>
        <v>0</v>
      </c>
      <c r="N124" s="248">
        <f t="shared" si="49"/>
        <v>0</v>
      </c>
      <c r="O124" s="248">
        <f t="shared" si="49"/>
        <v>0</v>
      </c>
    </row>
    <row r="125" ht="16.75" customHeight="1" spans="1:15">
      <c r="A125" s="246" t="s">
        <v>485</v>
      </c>
      <c r="B125" s="297" t="s">
        <v>495</v>
      </c>
      <c r="C125" s="270"/>
      <c r="D125" s="270"/>
      <c r="E125" s="270"/>
      <c r="F125" s="248">
        <f>F126</f>
        <v>4000000</v>
      </c>
      <c r="G125" s="248">
        <f t="shared" ref="G125:O125" si="50">G126</f>
        <v>0</v>
      </c>
      <c r="H125" s="248">
        <f t="shared" si="50"/>
        <v>0</v>
      </c>
      <c r="I125" s="248">
        <f t="shared" si="50"/>
        <v>4000000</v>
      </c>
      <c r="J125" s="248">
        <f t="shared" si="50"/>
        <v>0</v>
      </c>
      <c r="K125" s="248">
        <f t="shared" si="50"/>
        <v>0</v>
      </c>
      <c r="L125" s="248">
        <f t="shared" si="50"/>
        <v>4000000</v>
      </c>
      <c r="M125" s="248">
        <f t="shared" si="50"/>
        <v>0</v>
      </c>
      <c r="N125" s="248">
        <f t="shared" si="50"/>
        <v>0</v>
      </c>
      <c r="O125" s="248">
        <f t="shared" si="50"/>
        <v>0</v>
      </c>
    </row>
    <row r="126" ht="16.75" customHeight="1" spans="1:15">
      <c r="A126" s="246" t="s">
        <v>486</v>
      </c>
      <c r="B126" s="297" t="s">
        <v>452</v>
      </c>
      <c r="C126" s="270"/>
      <c r="D126" s="270"/>
      <c r="E126" s="270"/>
      <c r="F126" s="248">
        <f>F127</f>
        <v>4000000</v>
      </c>
      <c r="G126" s="248">
        <f t="shared" ref="G126:O126" si="51">G127</f>
        <v>0</v>
      </c>
      <c r="H126" s="248">
        <f t="shared" si="51"/>
        <v>0</v>
      </c>
      <c r="I126" s="248">
        <f t="shared" si="51"/>
        <v>4000000</v>
      </c>
      <c r="J126" s="248">
        <f t="shared" si="51"/>
        <v>0</v>
      </c>
      <c r="K126" s="248">
        <f t="shared" si="51"/>
        <v>0</v>
      </c>
      <c r="L126" s="248">
        <f t="shared" si="51"/>
        <v>4000000</v>
      </c>
      <c r="M126" s="248">
        <f t="shared" si="51"/>
        <v>0</v>
      </c>
      <c r="N126" s="248">
        <f t="shared" si="51"/>
        <v>0</v>
      </c>
      <c r="O126" s="248">
        <f t="shared" si="51"/>
        <v>0</v>
      </c>
    </row>
    <row r="127" s="224" customFormat="1" ht="16.75" customHeight="1" spans="1:15">
      <c r="A127" s="251" t="s">
        <v>423</v>
      </c>
      <c r="B127" s="247" t="s">
        <v>508</v>
      </c>
      <c r="C127" s="298"/>
      <c r="D127" s="298"/>
      <c r="E127" s="298"/>
      <c r="F127" s="252">
        <v>4000000</v>
      </c>
      <c r="G127" s="252"/>
      <c r="H127" s="252"/>
      <c r="I127" s="252">
        <v>4000000</v>
      </c>
      <c r="J127" s="252"/>
      <c r="K127" s="280"/>
      <c r="L127" s="252">
        <v>4000000</v>
      </c>
      <c r="M127" s="302"/>
      <c r="N127" s="302"/>
      <c r="O127" s="302"/>
    </row>
    <row r="128" ht="16.75" customHeight="1" spans="1:15">
      <c r="A128" s="299" t="s">
        <v>509</v>
      </c>
      <c r="B128" s="300" t="s">
        <v>510</v>
      </c>
      <c r="C128" s="268"/>
      <c r="D128" s="268"/>
      <c r="E128" s="268"/>
      <c r="F128" s="301">
        <f>F129+F139+F144</f>
        <v>10522342</v>
      </c>
      <c r="G128" s="301">
        <f t="shared" ref="G128:O128" si="52">G129+G139+G144</f>
        <v>0</v>
      </c>
      <c r="H128" s="301">
        <f t="shared" si="52"/>
        <v>0</v>
      </c>
      <c r="I128" s="301">
        <f t="shared" si="52"/>
        <v>4585000</v>
      </c>
      <c r="J128" s="301">
        <f t="shared" si="52"/>
        <v>0</v>
      </c>
      <c r="K128" s="301">
        <f t="shared" si="52"/>
        <v>4585000</v>
      </c>
      <c r="L128" s="301">
        <f t="shared" si="52"/>
        <v>0</v>
      </c>
      <c r="M128" s="301">
        <f t="shared" si="52"/>
        <v>0</v>
      </c>
      <c r="N128" s="301">
        <f t="shared" si="52"/>
        <v>0</v>
      </c>
      <c r="O128" s="301">
        <f t="shared" si="52"/>
        <v>0</v>
      </c>
    </row>
    <row r="129" ht="16" customHeight="1" spans="1:15">
      <c r="A129" s="246" t="s">
        <v>511</v>
      </c>
      <c r="B129" s="247" t="s">
        <v>512</v>
      </c>
      <c r="C129" s="270"/>
      <c r="D129" s="270"/>
      <c r="E129" s="270"/>
      <c r="F129" s="248">
        <f>F130</f>
        <v>4585344</v>
      </c>
      <c r="G129" s="248">
        <f t="shared" ref="G129:O129" si="53">G130</f>
        <v>0</v>
      </c>
      <c r="H129" s="248">
        <f t="shared" si="53"/>
        <v>0</v>
      </c>
      <c r="I129" s="248">
        <f t="shared" si="53"/>
        <v>4585000</v>
      </c>
      <c r="J129" s="248">
        <f t="shared" si="53"/>
        <v>0</v>
      </c>
      <c r="K129" s="248">
        <f t="shared" si="53"/>
        <v>4585000</v>
      </c>
      <c r="L129" s="248">
        <f t="shared" si="53"/>
        <v>0</v>
      </c>
      <c r="M129" s="248">
        <f t="shared" si="53"/>
        <v>0</v>
      </c>
      <c r="N129" s="248">
        <f t="shared" si="53"/>
        <v>0</v>
      </c>
      <c r="O129" s="248">
        <f t="shared" si="53"/>
        <v>0</v>
      </c>
    </row>
    <row r="130" ht="16.75" customHeight="1" spans="1:15">
      <c r="A130" s="246" t="s">
        <v>411</v>
      </c>
      <c r="B130" s="247" t="s">
        <v>412</v>
      </c>
      <c r="C130" s="270"/>
      <c r="D130" s="270"/>
      <c r="E130" s="270"/>
      <c r="F130" s="248">
        <f>F131+F135</f>
        <v>4585344</v>
      </c>
      <c r="G130" s="248">
        <f t="shared" ref="G130:O130" si="54">G131+G135</f>
        <v>0</v>
      </c>
      <c r="H130" s="248">
        <f t="shared" si="54"/>
        <v>0</v>
      </c>
      <c r="I130" s="248">
        <f t="shared" si="54"/>
        <v>4585000</v>
      </c>
      <c r="J130" s="248">
        <f t="shared" si="54"/>
        <v>0</v>
      </c>
      <c r="K130" s="248">
        <f t="shared" si="54"/>
        <v>4585000</v>
      </c>
      <c r="L130" s="248">
        <f t="shared" si="54"/>
        <v>0</v>
      </c>
      <c r="M130" s="248">
        <f t="shared" si="54"/>
        <v>0</v>
      </c>
      <c r="N130" s="248">
        <f t="shared" si="54"/>
        <v>0</v>
      </c>
      <c r="O130" s="248">
        <f t="shared" si="54"/>
        <v>0</v>
      </c>
    </row>
    <row r="131" ht="15.25" customHeight="1" spans="1:15">
      <c r="A131" s="249" t="s">
        <v>413</v>
      </c>
      <c r="B131" s="247" t="s">
        <v>452</v>
      </c>
      <c r="C131" s="270"/>
      <c r="D131" s="270"/>
      <c r="E131" s="270"/>
      <c r="F131" s="250">
        <f>SUM(F132:F134)</f>
        <v>1785344</v>
      </c>
      <c r="G131" s="250"/>
      <c r="H131" s="250"/>
      <c r="I131" s="250">
        <f t="shared" ref="I131:O131" si="55">SUM(I132:I134)</f>
        <v>1785000</v>
      </c>
      <c r="J131" s="250"/>
      <c r="K131" s="278">
        <f t="shared" si="55"/>
        <v>1785000</v>
      </c>
      <c r="L131" s="279">
        <f t="shared" si="55"/>
        <v>0</v>
      </c>
      <c r="M131" s="279">
        <f t="shared" si="55"/>
        <v>0</v>
      </c>
      <c r="N131" s="279">
        <f t="shared" si="55"/>
        <v>0</v>
      </c>
      <c r="O131" s="279">
        <f t="shared" si="55"/>
        <v>0</v>
      </c>
    </row>
    <row r="132" ht="15.75" customHeight="1" spans="1:15">
      <c r="A132" s="251" t="s">
        <v>415</v>
      </c>
      <c r="B132" s="247" t="s">
        <v>416</v>
      </c>
      <c r="C132" s="270"/>
      <c r="D132" s="270"/>
      <c r="E132" s="270"/>
      <c r="F132" s="252">
        <v>104344</v>
      </c>
      <c r="G132" s="252"/>
      <c r="H132" s="252"/>
      <c r="I132" s="252">
        <v>104000</v>
      </c>
      <c r="J132" s="274">
        <v>100</v>
      </c>
      <c r="K132" s="252">
        <v>104000</v>
      </c>
      <c r="L132" s="272"/>
      <c r="M132" s="272"/>
      <c r="N132" s="272"/>
      <c r="O132" s="272"/>
    </row>
    <row r="133" ht="15.75" customHeight="1" spans="1:15">
      <c r="A133" s="251" t="s">
        <v>419</v>
      </c>
      <c r="B133" s="247" t="s">
        <v>420</v>
      </c>
      <c r="C133" s="270"/>
      <c r="D133" s="270"/>
      <c r="E133" s="270"/>
      <c r="F133" s="252">
        <v>381000</v>
      </c>
      <c r="G133" s="252"/>
      <c r="H133" s="252"/>
      <c r="I133" s="252">
        <v>381000</v>
      </c>
      <c r="J133" s="274">
        <v>100</v>
      </c>
      <c r="K133" s="252">
        <v>381000</v>
      </c>
      <c r="L133" s="272"/>
      <c r="M133" s="272"/>
      <c r="N133" s="272"/>
      <c r="O133" s="272"/>
    </row>
    <row r="134" ht="15.75" customHeight="1" spans="1:15">
      <c r="A134" s="251" t="s">
        <v>421</v>
      </c>
      <c r="B134" s="247" t="s">
        <v>422</v>
      </c>
      <c r="C134" s="270"/>
      <c r="D134" s="270"/>
      <c r="E134" s="270"/>
      <c r="F134" s="252">
        <v>1300000</v>
      </c>
      <c r="G134" s="252"/>
      <c r="H134" s="252"/>
      <c r="I134" s="252">
        <v>1300000</v>
      </c>
      <c r="J134" s="274">
        <v>95.39</v>
      </c>
      <c r="K134" s="252">
        <v>1300000</v>
      </c>
      <c r="L134" s="272"/>
      <c r="M134" s="272"/>
      <c r="N134" s="272"/>
      <c r="O134" s="272"/>
    </row>
    <row r="135" ht="15.75" customHeight="1" spans="1:15">
      <c r="A135" s="249" t="s">
        <v>425</v>
      </c>
      <c r="B135" s="247" t="s">
        <v>453</v>
      </c>
      <c r="C135" s="270"/>
      <c r="D135" s="270"/>
      <c r="E135" s="270"/>
      <c r="F135" s="250">
        <f>F136+F137</f>
        <v>2800000</v>
      </c>
      <c r="G135" s="250"/>
      <c r="H135" s="250"/>
      <c r="I135" s="250">
        <f t="shared" ref="I135:O135" si="56">I136+I137</f>
        <v>2800000</v>
      </c>
      <c r="J135" s="250"/>
      <c r="K135" s="278">
        <f t="shared" si="56"/>
        <v>2800000</v>
      </c>
      <c r="L135" s="279">
        <f t="shared" si="56"/>
        <v>0</v>
      </c>
      <c r="M135" s="279">
        <f t="shared" si="56"/>
        <v>0</v>
      </c>
      <c r="N135" s="279">
        <f t="shared" si="56"/>
        <v>0</v>
      </c>
      <c r="O135" s="279">
        <f t="shared" si="56"/>
        <v>0</v>
      </c>
    </row>
    <row r="136" ht="15.75" customHeight="1" spans="1:15">
      <c r="A136" s="251" t="s">
        <v>513</v>
      </c>
      <c r="B136" s="247" t="s">
        <v>514</v>
      </c>
      <c r="C136" s="270"/>
      <c r="D136" s="270"/>
      <c r="E136" s="270"/>
      <c r="F136" s="252">
        <v>800000</v>
      </c>
      <c r="G136" s="252"/>
      <c r="H136" s="252"/>
      <c r="I136" s="252">
        <v>800000</v>
      </c>
      <c r="J136" s="274">
        <v>100</v>
      </c>
      <c r="K136" s="252">
        <v>800000</v>
      </c>
      <c r="L136" s="272"/>
      <c r="M136" s="272"/>
      <c r="N136" s="272"/>
      <c r="O136" s="272"/>
    </row>
    <row r="137" ht="15.75" customHeight="1" spans="1:15">
      <c r="A137" s="251" t="s">
        <v>515</v>
      </c>
      <c r="B137" s="247" t="s">
        <v>516</v>
      </c>
      <c r="C137" s="270"/>
      <c r="D137" s="270"/>
      <c r="E137" s="270"/>
      <c r="F137" s="252">
        <v>2000000</v>
      </c>
      <c r="G137" s="252"/>
      <c r="H137" s="252"/>
      <c r="I137" s="252">
        <v>2000000</v>
      </c>
      <c r="J137" s="274">
        <v>100</v>
      </c>
      <c r="K137" s="252">
        <v>2000000</v>
      </c>
      <c r="L137" s="272"/>
      <c r="M137" s="272"/>
      <c r="N137" s="272"/>
      <c r="O137" s="272"/>
    </row>
    <row r="138" customHeight="1" spans="1:15">
      <c r="A138" s="251"/>
      <c r="B138" s="247"/>
      <c r="C138" s="270"/>
      <c r="D138" s="270"/>
      <c r="E138" s="270"/>
      <c r="F138" s="252"/>
      <c r="G138" s="252"/>
      <c r="H138" s="252"/>
      <c r="I138" s="252"/>
      <c r="J138" s="274"/>
      <c r="K138" s="280"/>
      <c r="L138" s="272"/>
      <c r="M138" s="272"/>
      <c r="N138" s="272"/>
      <c r="O138" s="272"/>
    </row>
    <row r="139" s="223" customFormat="1" ht="15.5" customHeight="1" spans="1:15">
      <c r="A139" s="246" t="s">
        <v>517</v>
      </c>
      <c r="B139" s="266" t="s">
        <v>518</v>
      </c>
      <c r="C139" s="296"/>
      <c r="D139" s="296"/>
      <c r="E139" s="296"/>
      <c r="F139" s="248">
        <f>F140</f>
        <v>700000</v>
      </c>
      <c r="G139" s="248"/>
      <c r="H139" s="248"/>
      <c r="I139" s="248">
        <f t="shared" ref="I139:O140" si="57">I140</f>
        <v>0</v>
      </c>
      <c r="J139" s="248"/>
      <c r="K139" s="276">
        <f t="shared" si="57"/>
        <v>0</v>
      </c>
      <c r="L139" s="277">
        <f t="shared" si="57"/>
        <v>0</v>
      </c>
      <c r="M139" s="277">
        <f t="shared" si="57"/>
        <v>0</v>
      </c>
      <c r="N139" s="277">
        <f t="shared" si="57"/>
        <v>0</v>
      </c>
      <c r="O139" s="277">
        <f t="shared" si="57"/>
        <v>0</v>
      </c>
    </row>
    <row r="140" ht="16.75" customHeight="1" spans="1:15">
      <c r="A140" s="246" t="s">
        <v>411</v>
      </c>
      <c r="B140" s="247" t="s">
        <v>412</v>
      </c>
      <c r="C140" s="270"/>
      <c r="D140" s="270"/>
      <c r="E140" s="270"/>
      <c r="F140" s="248">
        <f>F141</f>
        <v>700000</v>
      </c>
      <c r="G140" s="248"/>
      <c r="H140" s="248"/>
      <c r="I140" s="248">
        <f t="shared" si="57"/>
        <v>0</v>
      </c>
      <c r="J140" s="248"/>
      <c r="K140" s="276">
        <f t="shared" si="57"/>
        <v>0</v>
      </c>
      <c r="L140" s="277">
        <f t="shared" si="57"/>
        <v>0</v>
      </c>
      <c r="M140" s="277">
        <f t="shared" si="57"/>
        <v>0</v>
      </c>
      <c r="N140" s="277">
        <f t="shared" si="57"/>
        <v>0</v>
      </c>
      <c r="O140" s="277">
        <f t="shared" si="57"/>
        <v>0</v>
      </c>
    </row>
    <row r="141" ht="15.5" customHeight="1" spans="1:15">
      <c r="A141" s="249" t="s">
        <v>413</v>
      </c>
      <c r="B141" s="247" t="s">
        <v>452</v>
      </c>
      <c r="C141" s="270"/>
      <c r="D141" s="270"/>
      <c r="E141" s="270"/>
      <c r="F141" s="250">
        <f>SUM(F142:F143)</f>
        <v>700000</v>
      </c>
      <c r="G141" s="250"/>
      <c r="H141" s="250"/>
      <c r="I141" s="250">
        <f t="shared" ref="I141:O141" si="58">SUM(I142:I143)</f>
        <v>0</v>
      </c>
      <c r="J141" s="250"/>
      <c r="K141" s="278">
        <f t="shared" si="58"/>
        <v>0</v>
      </c>
      <c r="L141" s="279">
        <f t="shared" si="58"/>
        <v>0</v>
      </c>
      <c r="M141" s="279">
        <f t="shared" si="58"/>
        <v>0</v>
      </c>
      <c r="N141" s="279">
        <f t="shared" si="58"/>
        <v>0</v>
      </c>
      <c r="O141" s="279">
        <f t="shared" si="58"/>
        <v>0</v>
      </c>
    </row>
    <row r="142" ht="15.75" customHeight="1" spans="1:15">
      <c r="A142" s="251" t="s">
        <v>415</v>
      </c>
      <c r="B142" s="247" t="s">
        <v>416</v>
      </c>
      <c r="C142" s="270"/>
      <c r="D142" s="270"/>
      <c r="E142" s="270"/>
      <c r="F142" s="252">
        <v>200000</v>
      </c>
      <c r="G142" s="252"/>
      <c r="H142" s="252"/>
      <c r="I142" s="275">
        <v>0</v>
      </c>
      <c r="J142" s="274">
        <v>0</v>
      </c>
      <c r="K142" s="280"/>
      <c r="L142" s="272"/>
      <c r="M142" s="272"/>
      <c r="N142" s="272"/>
      <c r="O142" s="272"/>
    </row>
    <row r="143" customHeight="1" spans="1:15">
      <c r="A143" s="251" t="s">
        <v>419</v>
      </c>
      <c r="B143" s="247" t="s">
        <v>420</v>
      </c>
      <c r="C143" s="270"/>
      <c r="D143" s="270"/>
      <c r="E143" s="270"/>
      <c r="F143" s="252">
        <v>500000</v>
      </c>
      <c r="G143" s="252"/>
      <c r="H143" s="252"/>
      <c r="I143" s="275">
        <v>0</v>
      </c>
      <c r="J143" s="274">
        <v>0</v>
      </c>
      <c r="K143" s="280"/>
      <c r="L143" s="272"/>
      <c r="M143" s="272"/>
      <c r="N143" s="272"/>
      <c r="O143" s="272"/>
    </row>
    <row r="144" s="223" customFormat="1" ht="15.5" customHeight="1" spans="1:15">
      <c r="A144" s="246" t="s">
        <v>519</v>
      </c>
      <c r="B144" s="266" t="s">
        <v>520</v>
      </c>
      <c r="C144" s="296"/>
      <c r="D144" s="296"/>
      <c r="E144" s="296"/>
      <c r="F144" s="248">
        <f>F145</f>
        <v>5236998</v>
      </c>
      <c r="G144" s="248"/>
      <c r="H144" s="248"/>
      <c r="I144" s="248">
        <f t="shared" ref="I144:O144" si="59">I145</f>
        <v>0</v>
      </c>
      <c r="J144" s="248"/>
      <c r="K144" s="276">
        <f t="shared" si="59"/>
        <v>0</v>
      </c>
      <c r="L144" s="277">
        <f t="shared" si="59"/>
        <v>0</v>
      </c>
      <c r="M144" s="277">
        <f t="shared" si="59"/>
        <v>0</v>
      </c>
      <c r="N144" s="277">
        <f t="shared" si="59"/>
        <v>0</v>
      </c>
      <c r="O144" s="277">
        <f t="shared" si="59"/>
        <v>0</v>
      </c>
    </row>
    <row r="145" ht="16.75" customHeight="1" spans="1:15">
      <c r="A145" s="246" t="s">
        <v>411</v>
      </c>
      <c r="B145" s="247" t="s">
        <v>412</v>
      </c>
      <c r="C145" s="270"/>
      <c r="D145" s="270"/>
      <c r="E145" s="270"/>
      <c r="F145" s="248">
        <f>F146+F150</f>
        <v>5236998</v>
      </c>
      <c r="G145" s="248"/>
      <c r="H145" s="248"/>
      <c r="I145" s="248">
        <f t="shared" ref="I145:O145" si="60">I146+I150</f>
        <v>0</v>
      </c>
      <c r="J145" s="248"/>
      <c r="K145" s="276">
        <f t="shared" si="60"/>
        <v>0</v>
      </c>
      <c r="L145" s="277">
        <f t="shared" si="60"/>
        <v>0</v>
      </c>
      <c r="M145" s="277">
        <f t="shared" si="60"/>
        <v>0</v>
      </c>
      <c r="N145" s="277">
        <f t="shared" si="60"/>
        <v>0</v>
      </c>
      <c r="O145" s="277">
        <f t="shared" si="60"/>
        <v>0</v>
      </c>
    </row>
    <row r="146" ht="15.5" customHeight="1" spans="1:15">
      <c r="A146" s="249" t="s">
        <v>413</v>
      </c>
      <c r="B146" s="247" t="s">
        <v>452</v>
      </c>
      <c r="C146" s="270"/>
      <c r="D146" s="270"/>
      <c r="E146" s="270"/>
      <c r="F146" s="250">
        <f>SUM(F147:F149)</f>
        <v>3886998</v>
      </c>
      <c r="G146" s="250"/>
      <c r="H146" s="250"/>
      <c r="I146" s="250">
        <f t="shared" ref="I146:O146" si="61">SUM(I147:I149)</f>
        <v>0</v>
      </c>
      <c r="J146" s="250"/>
      <c r="K146" s="278">
        <f t="shared" si="61"/>
        <v>0</v>
      </c>
      <c r="L146" s="279">
        <f t="shared" si="61"/>
        <v>0</v>
      </c>
      <c r="M146" s="279">
        <f t="shared" si="61"/>
        <v>0</v>
      </c>
      <c r="N146" s="279">
        <f t="shared" si="61"/>
        <v>0</v>
      </c>
      <c r="O146" s="279">
        <f t="shared" si="61"/>
        <v>0</v>
      </c>
    </row>
    <row r="147" ht="15.75" customHeight="1" spans="1:15">
      <c r="A147" s="251" t="s">
        <v>415</v>
      </c>
      <c r="B147" s="247" t="s">
        <v>416</v>
      </c>
      <c r="C147" s="270"/>
      <c r="D147" s="270"/>
      <c r="E147" s="270"/>
      <c r="F147" s="252">
        <v>191998</v>
      </c>
      <c r="G147" s="252"/>
      <c r="H147" s="252"/>
      <c r="I147" s="275">
        <v>0</v>
      </c>
      <c r="J147" s="274">
        <v>0</v>
      </c>
      <c r="K147" s="280"/>
      <c r="L147" s="272"/>
      <c r="M147" s="272"/>
      <c r="N147" s="272"/>
      <c r="O147" s="272"/>
    </row>
    <row r="148" ht="15.75" customHeight="1" spans="1:15">
      <c r="A148" s="251" t="s">
        <v>419</v>
      </c>
      <c r="B148" s="247" t="s">
        <v>420</v>
      </c>
      <c r="C148" s="270"/>
      <c r="D148" s="270"/>
      <c r="E148" s="270"/>
      <c r="F148" s="252">
        <v>1000000</v>
      </c>
      <c r="G148" s="252"/>
      <c r="H148" s="252"/>
      <c r="I148" s="275">
        <v>0</v>
      </c>
      <c r="J148" s="274">
        <v>0</v>
      </c>
      <c r="K148" s="280"/>
      <c r="L148" s="272"/>
      <c r="M148" s="272"/>
      <c r="N148" s="272"/>
      <c r="O148" s="272"/>
    </row>
    <row r="149" ht="15.75" customHeight="1" spans="1:15">
      <c r="A149" s="251" t="s">
        <v>421</v>
      </c>
      <c r="B149" s="247" t="s">
        <v>422</v>
      </c>
      <c r="C149" s="270"/>
      <c r="D149" s="270"/>
      <c r="E149" s="270"/>
      <c r="F149" s="252">
        <v>2695000</v>
      </c>
      <c r="G149" s="252"/>
      <c r="H149" s="252"/>
      <c r="I149" s="275">
        <v>0</v>
      </c>
      <c r="J149" s="274">
        <v>0</v>
      </c>
      <c r="K149" s="280"/>
      <c r="L149" s="272"/>
      <c r="M149" s="272"/>
      <c r="N149" s="272"/>
      <c r="O149" s="272"/>
    </row>
    <row r="150" ht="15.75" customHeight="1" spans="1:15">
      <c r="A150" s="249" t="s">
        <v>425</v>
      </c>
      <c r="B150" s="247" t="s">
        <v>453</v>
      </c>
      <c r="C150" s="270"/>
      <c r="D150" s="270"/>
      <c r="E150" s="270"/>
      <c r="F150" s="250">
        <f>F151</f>
        <v>1350000</v>
      </c>
      <c r="G150" s="250"/>
      <c r="H150" s="250"/>
      <c r="I150" s="250">
        <f t="shared" ref="I150:O150" si="62">I151</f>
        <v>0</v>
      </c>
      <c r="J150" s="250"/>
      <c r="K150" s="278">
        <f t="shared" si="62"/>
        <v>0</v>
      </c>
      <c r="L150" s="279">
        <f t="shared" si="62"/>
        <v>0</v>
      </c>
      <c r="M150" s="279">
        <f t="shared" si="62"/>
        <v>0</v>
      </c>
      <c r="N150" s="279">
        <f t="shared" si="62"/>
        <v>0</v>
      </c>
      <c r="O150" s="279">
        <f t="shared" si="62"/>
        <v>0</v>
      </c>
    </row>
    <row r="151" ht="15.25" customHeight="1" spans="1:15">
      <c r="A151" s="251" t="s">
        <v>515</v>
      </c>
      <c r="B151" s="247" t="s">
        <v>516</v>
      </c>
      <c r="C151" s="270"/>
      <c r="D151" s="270"/>
      <c r="E151" s="270"/>
      <c r="F151" s="252">
        <v>1350000</v>
      </c>
      <c r="G151" s="252"/>
      <c r="H151" s="252"/>
      <c r="I151" s="275">
        <v>0</v>
      </c>
      <c r="J151" s="274">
        <v>0</v>
      </c>
      <c r="K151" s="280"/>
      <c r="L151" s="272"/>
      <c r="M151" s="272"/>
      <c r="N151" s="272"/>
      <c r="O151" s="272"/>
    </row>
    <row r="152" ht="15" customHeight="1" spans="1:16">
      <c r="A152" s="246" t="s">
        <v>521</v>
      </c>
      <c r="B152" s="297" t="s">
        <v>522</v>
      </c>
      <c r="C152" s="248">
        <v>48034750</v>
      </c>
      <c r="D152" s="270"/>
      <c r="E152" s="270"/>
      <c r="F152" s="248">
        <f>F153+F159+F165+F183+F189+F195+F171</f>
        <v>42482463</v>
      </c>
      <c r="G152" s="248">
        <f t="shared" ref="G152:O152" si="63">G153+G159+G165+G183+G189+G195+G171</f>
        <v>0</v>
      </c>
      <c r="H152" s="248">
        <f t="shared" si="63"/>
        <v>0</v>
      </c>
      <c r="I152" s="248">
        <f t="shared" si="63"/>
        <v>42482350</v>
      </c>
      <c r="J152" s="248">
        <f t="shared" si="63"/>
        <v>0</v>
      </c>
      <c r="K152" s="248">
        <f t="shared" si="63"/>
        <v>0</v>
      </c>
      <c r="L152" s="248">
        <f t="shared" si="63"/>
        <v>23357000</v>
      </c>
      <c r="M152" s="248">
        <f t="shared" si="63"/>
        <v>10294750</v>
      </c>
      <c r="N152" s="248">
        <f t="shared" si="63"/>
        <v>8830600</v>
      </c>
      <c r="O152" s="248">
        <f t="shared" si="63"/>
        <v>0</v>
      </c>
      <c r="P152" s="291"/>
    </row>
    <row r="153" s="223" customFormat="1" ht="16" customHeight="1" spans="1:15">
      <c r="A153" s="246" t="s">
        <v>523</v>
      </c>
      <c r="B153" s="266" t="s">
        <v>524</v>
      </c>
      <c r="C153" s="296"/>
      <c r="D153" s="296"/>
      <c r="E153" s="296"/>
      <c r="F153" s="248">
        <f>F154</f>
        <v>1195000</v>
      </c>
      <c r="G153" s="248"/>
      <c r="H153" s="248"/>
      <c r="I153" s="248">
        <f t="shared" ref="I153:N154" si="64">I154</f>
        <v>1195000</v>
      </c>
      <c r="J153" s="248"/>
      <c r="K153" s="276">
        <f t="shared" si="64"/>
        <v>0</v>
      </c>
      <c r="L153" s="277">
        <f t="shared" si="64"/>
        <v>0</v>
      </c>
      <c r="M153" s="277">
        <f t="shared" si="64"/>
        <v>0</v>
      </c>
      <c r="N153" s="277">
        <f t="shared" si="64"/>
        <v>1195000</v>
      </c>
      <c r="O153" s="277">
        <f>O154</f>
        <v>0</v>
      </c>
    </row>
    <row r="154" s="223" customFormat="1" ht="17" customHeight="1" spans="1:15">
      <c r="A154" s="246" t="s">
        <v>525</v>
      </c>
      <c r="B154" s="266" t="s">
        <v>412</v>
      </c>
      <c r="C154" s="296"/>
      <c r="D154" s="296"/>
      <c r="E154" s="296"/>
      <c r="F154" s="248">
        <f>F155</f>
        <v>1195000</v>
      </c>
      <c r="G154" s="248"/>
      <c r="H154" s="248"/>
      <c r="I154" s="248">
        <f t="shared" si="64"/>
        <v>1195000</v>
      </c>
      <c r="J154" s="248"/>
      <c r="K154" s="276">
        <f t="shared" si="64"/>
        <v>0</v>
      </c>
      <c r="L154" s="277">
        <f t="shared" si="64"/>
        <v>0</v>
      </c>
      <c r="M154" s="277">
        <f t="shared" si="64"/>
        <v>0</v>
      </c>
      <c r="N154" s="277">
        <f t="shared" si="64"/>
        <v>1195000</v>
      </c>
      <c r="O154" s="277">
        <f t="shared" ref="O154" si="65">O155</f>
        <v>0</v>
      </c>
    </row>
    <row r="155" s="223" customFormat="1" ht="17.75" customHeight="1" spans="1:15">
      <c r="A155" s="304" t="s">
        <v>526</v>
      </c>
      <c r="B155" s="263" t="s">
        <v>527</v>
      </c>
      <c r="C155" s="305"/>
      <c r="D155" s="305"/>
      <c r="E155" s="305"/>
      <c r="F155" s="306">
        <f>SUM(F156:F158)</f>
        <v>1195000</v>
      </c>
      <c r="G155" s="306"/>
      <c r="H155" s="306"/>
      <c r="I155" s="306">
        <f t="shared" ref="I155:O155" si="66">SUM(I156:I158)</f>
        <v>1195000</v>
      </c>
      <c r="J155" s="306"/>
      <c r="K155" s="309">
        <f t="shared" si="66"/>
        <v>0</v>
      </c>
      <c r="L155" s="279">
        <f t="shared" si="66"/>
        <v>0</v>
      </c>
      <c r="M155" s="279">
        <f t="shared" si="66"/>
        <v>0</v>
      </c>
      <c r="N155" s="279">
        <f t="shared" si="66"/>
        <v>1195000</v>
      </c>
      <c r="O155" s="279">
        <f t="shared" si="66"/>
        <v>0</v>
      </c>
    </row>
    <row r="156" ht="15.75" customHeight="1" spans="1:15">
      <c r="A156" s="251" t="s">
        <v>415</v>
      </c>
      <c r="B156" s="247" t="s">
        <v>416</v>
      </c>
      <c r="C156" s="270"/>
      <c r="D156" s="270"/>
      <c r="E156" s="270"/>
      <c r="F156" s="252">
        <v>100000</v>
      </c>
      <c r="G156" s="252"/>
      <c r="H156" s="252"/>
      <c r="I156" s="252">
        <v>100000</v>
      </c>
      <c r="J156" s="274">
        <v>100</v>
      </c>
      <c r="K156" s="292"/>
      <c r="L156" s="302"/>
      <c r="M156" s="272"/>
      <c r="N156" s="252">
        <v>100000</v>
      </c>
      <c r="O156" s="272"/>
    </row>
    <row r="157" ht="15.75" customHeight="1" spans="1:15">
      <c r="A157" s="251" t="s">
        <v>419</v>
      </c>
      <c r="B157" s="247" t="s">
        <v>420</v>
      </c>
      <c r="C157" s="270"/>
      <c r="D157" s="270"/>
      <c r="E157" s="270"/>
      <c r="F157" s="252">
        <v>150000</v>
      </c>
      <c r="G157" s="252"/>
      <c r="H157" s="252"/>
      <c r="I157" s="252">
        <v>150000</v>
      </c>
      <c r="J157" s="274">
        <v>100</v>
      </c>
      <c r="K157" s="292"/>
      <c r="L157" s="302"/>
      <c r="M157" s="272"/>
      <c r="N157" s="252">
        <v>150000</v>
      </c>
      <c r="O157" s="272"/>
    </row>
    <row r="158" customHeight="1" spans="1:15">
      <c r="A158" s="251" t="s">
        <v>421</v>
      </c>
      <c r="B158" s="247" t="s">
        <v>422</v>
      </c>
      <c r="C158" s="270"/>
      <c r="D158" s="270"/>
      <c r="E158" s="270"/>
      <c r="F158" s="252">
        <v>945000</v>
      </c>
      <c r="G158" s="252"/>
      <c r="H158" s="252"/>
      <c r="I158" s="252">
        <v>945000</v>
      </c>
      <c r="J158" s="274">
        <v>100</v>
      </c>
      <c r="K158" s="292"/>
      <c r="L158" s="302"/>
      <c r="M158" s="272"/>
      <c r="N158" s="252">
        <v>945000</v>
      </c>
      <c r="O158" s="272"/>
    </row>
    <row r="159" s="223" customFormat="1" ht="15.5" customHeight="1" spans="1:15">
      <c r="A159" s="246" t="s">
        <v>528</v>
      </c>
      <c r="B159" s="266" t="s">
        <v>529</v>
      </c>
      <c r="C159" s="296"/>
      <c r="D159" s="296"/>
      <c r="E159" s="296"/>
      <c r="F159" s="248">
        <f>F160</f>
        <v>3795000</v>
      </c>
      <c r="G159" s="248"/>
      <c r="H159" s="248"/>
      <c r="I159" s="248">
        <f t="shared" ref="I159:O160" si="67">I160</f>
        <v>3795000</v>
      </c>
      <c r="J159" s="248"/>
      <c r="K159" s="276">
        <f t="shared" si="67"/>
        <v>0</v>
      </c>
      <c r="L159" s="277">
        <f t="shared" si="67"/>
        <v>3795000</v>
      </c>
      <c r="M159" s="277">
        <f t="shared" si="67"/>
        <v>0</v>
      </c>
      <c r="N159" s="277">
        <f t="shared" si="67"/>
        <v>0</v>
      </c>
      <c r="O159" s="277">
        <f t="shared" si="67"/>
        <v>0</v>
      </c>
    </row>
    <row r="160" s="223" customFormat="1" ht="16.75" customHeight="1" spans="1:15">
      <c r="A160" s="246" t="s">
        <v>525</v>
      </c>
      <c r="B160" s="266" t="s">
        <v>412</v>
      </c>
      <c r="C160" s="296"/>
      <c r="D160" s="296"/>
      <c r="E160" s="296"/>
      <c r="F160" s="248">
        <f>F161</f>
        <v>3795000</v>
      </c>
      <c r="G160" s="248"/>
      <c r="H160" s="248"/>
      <c r="I160" s="248">
        <f t="shared" si="67"/>
        <v>3795000</v>
      </c>
      <c r="J160" s="248"/>
      <c r="K160" s="276">
        <f t="shared" si="67"/>
        <v>0</v>
      </c>
      <c r="L160" s="277">
        <f t="shared" si="67"/>
        <v>3795000</v>
      </c>
      <c r="M160" s="277">
        <f t="shared" si="67"/>
        <v>0</v>
      </c>
      <c r="N160" s="277">
        <f t="shared" si="67"/>
        <v>0</v>
      </c>
      <c r="O160" s="277">
        <f t="shared" si="67"/>
        <v>0</v>
      </c>
    </row>
    <row r="161" s="223" customFormat="1" ht="15.5" customHeight="1" spans="1:15">
      <c r="A161" s="249" t="s">
        <v>526</v>
      </c>
      <c r="B161" s="266" t="s">
        <v>452</v>
      </c>
      <c r="C161" s="296"/>
      <c r="D161" s="296"/>
      <c r="E161" s="296"/>
      <c r="F161" s="250">
        <f>SUM(F162:F164)</f>
        <v>3795000</v>
      </c>
      <c r="G161" s="250"/>
      <c r="H161" s="250"/>
      <c r="I161" s="250">
        <f t="shared" ref="I161:O161" si="68">SUM(I162:I164)</f>
        <v>3795000</v>
      </c>
      <c r="J161" s="250"/>
      <c r="K161" s="278">
        <f t="shared" si="68"/>
        <v>0</v>
      </c>
      <c r="L161" s="279">
        <f t="shared" si="68"/>
        <v>3795000</v>
      </c>
      <c r="M161" s="279">
        <f t="shared" si="68"/>
        <v>0</v>
      </c>
      <c r="N161" s="279">
        <f t="shared" si="68"/>
        <v>0</v>
      </c>
      <c r="O161" s="279">
        <f t="shared" si="68"/>
        <v>0</v>
      </c>
    </row>
    <row r="162" ht="15.75" customHeight="1" spans="1:15">
      <c r="A162" s="251" t="s">
        <v>415</v>
      </c>
      <c r="B162" s="247" t="s">
        <v>416</v>
      </c>
      <c r="C162" s="270"/>
      <c r="D162" s="270"/>
      <c r="E162" s="270"/>
      <c r="F162" s="252">
        <v>50000</v>
      </c>
      <c r="G162" s="252"/>
      <c r="H162" s="252"/>
      <c r="I162" s="252">
        <v>50000</v>
      </c>
      <c r="J162" s="274">
        <v>100</v>
      </c>
      <c r="K162" s="292"/>
      <c r="L162" s="252">
        <v>50000</v>
      </c>
      <c r="M162" s="272"/>
      <c r="N162" s="272"/>
      <c r="O162" s="272"/>
    </row>
    <row r="163" ht="15.75" customHeight="1" spans="1:15">
      <c r="A163" s="251" t="s">
        <v>419</v>
      </c>
      <c r="B163" s="247" t="s">
        <v>420</v>
      </c>
      <c r="C163" s="270"/>
      <c r="D163" s="270"/>
      <c r="E163" s="270"/>
      <c r="F163" s="252">
        <v>195000</v>
      </c>
      <c r="G163" s="252"/>
      <c r="H163" s="252"/>
      <c r="I163" s="252">
        <v>195000</v>
      </c>
      <c r="J163" s="274">
        <v>100</v>
      </c>
      <c r="K163" s="292"/>
      <c r="L163" s="252">
        <v>195000</v>
      </c>
      <c r="M163" s="272"/>
      <c r="N163" s="272"/>
      <c r="O163" s="272"/>
    </row>
    <row r="164" customHeight="1" spans="1:15">
      <c r="A164" s="251" t="s">
        <v>421</v>
      </c>
      <c r="B164" s="247" t="s">
        <v>422</v>
      </c>
      <c r="C164" s="270"/>
      <c r="D164" s="270"/>
      <c r="E164" s="270"/>
      <c r="F164" s="252">
        <v>3550000</v>
      </c>
      <c r="G164" s="252"/>
      <c r="H164" s="252"/>
      <c r="I164" s="252">
        <v>3550000</v>
      </c>
      <c r="J164" s="274">
        <v>100</v>
      </c>
      <c r="K164" s="292"/>
      <c r="L164" s="252">
        <v>3550000</v>
      </c>
      <c r="M164" s="272"/>
      <c r="N164" s="272"/>
      <c r="O164" s="272"/>
    </row>
    <row r="165" s="223" customFormat="1" ht="15.25" customHeight="1" spans="1:15">
      <c r="A165" s="246" t="s">
        <v>530</v>
      </c>
      <c r="B165" s="266" t="s">
        <v>531</v>
      </c>
      <c r="C165" s="296"/>
      <c r="D165" s="296"/>
      <c r="E165" s="296"/>
      <c r="F165" s="248">
        <f>F166</f>
        <v>6346000</v>
      </c>
      <c r="G165" s="248"/>
      <c r="H165" s="248"/>
      <c r="I165" s="248">
        <f t="shared" ref="I165:O166" si="69">I166</f>
        <v>6346000</v>
      </c>
      <c r="J165" s="248"/>
      <c r="K165" s="276">
        <f t="shared" si="69"/>
        <v>0</v>
      </c>
      <c r="L165" s="277">
        <f t="shared" si="69"/>
        <v>0</v>
      </c>
      <c r="M165" s="277">
        <f t="shared" si="69"/>
        <v>0</v>
      </c>
      <c r="N165" s="277">
        <f t="shared" si="69"/>
        <v>6346000</v>
      </c>
      <c r="O165" s="277">
        <f t="shared" si="69"/>
        <v>0</v>
      </c>
    </row>
    <row r="166" s="223" customFormat="1" ht="16.75" customHeight="1" spans="1:15">
      <c r="A166" s="246" t="s">
        <v>525</v>
      </c>
      <c r="B166" s="266" t="s">
        <v>412</v>
      </c>
      <c r="C166" s="296"/>
      <c r="D166" s="296"/>
      <c r="E166" s="296"/>
      <c r="F166" s="248">
        <f>F167</f>
        <v>6346000</v>
      </c>
      <c r="G166" s="248"/>
      <c r="H166" s="248"/>
      <c r="I166" s="248">
        <f t="shared" si="69"/>
        <v>6346000</v>
      </c>
      <c r="J166" s="248"/>
      <c r="K166" s="276">
        <f t="shared" si="69"/>
        <v>0</v>
      </c>
      <c r="L166" s="277">
        <f t="shared" si="69"/>
        <v>0</v>
      </c>
      <c r="M166" s="277">
        <f t="shared" si="69"/>
        <v>0</v>
      </c>
      <c r="N166" s="277">
        <f t="shared" si="69"/>
        <v>6346000</v>
      </c>
      <c r="O166" s="277">
        <f t="shared" si="69"/>
        <v>0</v>
      </c>
    </row>
    <row r="167" s="223" customFormat="1" ht="15.25" customHeight="1" spans="1:15">
      <c r="A167" s="249" t="s">
        <v>526</v>
      </c>
      <c r="B167" s="266" t="s">
        <v>452</v>
      </c>
      <c r="C167" s="296"/>
      <c r="D167" s="296"/>
      <c r="E167" s="296"/>
      <c r="F167" s="250">
        <f>SUM(F168:F170)</f>
        <v>6346000</v>
      </c>
      <c r="G167" s="250"/>
      <c r="H167" s="250"/>
      <c r="I167" s="250">
        <f t="shared" ref="I167:O167" si="70">SUM(I168:I170)</f>
        <v>6346000</v>
      </c>
      <c r="J167" s="250"/>
      <c r="K167" s="278">
        <f t="shared" si="70"/>
        <v>0</v>
      </c>
      <c r="L167" s="279">
        <f t="shared" si="70"/>
        <v>0</v>
      </c>
      <c r="M167" s="279">
        <f t="shared" si="70"/>
        <v>0</v>
      </c>
      <c r="N167" s="279">
        <f t="shared" si="70"/>
        <v>6346000</v>
      </c>
      <c r="O167" s="279">
        <f t="shared" si="70"/>
        <v>0</v>
      </c>
    </row>
    <row r="168" ht="15.75" customHeight="1" spans="1:15">
      <c r="A168" s="251" t="s">
        <v>415</v>
      </c>
      <c r="B168" s="247" t="s">
        <v>416</v>
      </c>
      <c r="C168" s="270"/>
      <c r="D168" s="270"/>
      <c r="E168" s="270"/>
      <c r="F168" s="252">
        <v>300000</v>
      </c>
      <c r="G168" s="252"/>
      <c r="H168" s="252"/>
      <c r="I168" s="252">
        <v>300000</v>
      </c>
      <c r="J168" s="274">
        <v>100</v>
      </c>
      <c r="K168" s="292"/>
      <c r="L168" s="302"/>
      <c r="M168" s="272"/>
      <c r="N168" s="252">
        <v>300000</v>
      </c>
      <c r="O168" s="272"/>
    </row>
    <row r="169" ht="15.75" customHeight="1" spans="1:15">
      <c r="A169" s="251" t="s">
        <v>419</v>
      </c>
      <c r="B169" s="247" t="s">
        <v>420</v>
      </c>
      <c r="C169" s="270"/>
      <c r="D169" s="270"/>
      <c r="E169" s="270"/>
      <c r="F169" s="252">
        <v>1356000</v>
      </c>
      <c r="G169" s="252"/>
      <c r="H169" s="252"/>
      <c r="I169" s="252">
        <v>1356000</v>
      </c>
      <c r="J169" s="274">
        <v>100</v>
      </c>
      <c r="K169" s="292"/>
      <c r="L169" s="302"/>
      <c r="M169" s="272"/>
      <c r="N169" s="252">
        <v>1356000</v>
      </c>
      <c r="O169" s="272"/>
    </row>
    <row r="170" customHeight="1" spans="1:15">
      <c r="A170" s="251" t="s">
        <v>421</v>
      </c>
      <c r="B170" s="247" t="s">
        <v>422</v>
      </c>
      <c r="C170" s="270"/>
      <c r="D170" s="270"/>
      <c r="E170" s="270"/>
      <c r="F170" s="252">
        <v>4690000</v>
      </c>
      <c r="G170" s="252"/>
      <c r="H170" s="252"/>
      <c r="I170" s="252">
        <v>4690000</v>
      </c>
      <c r="J170" s="274">
        <v>100</v>
      </c>
      <c r="K170" s="292"/>
      <c r="L170" s="302"/>
      <c r="M170" s="272"/>
      <c r="N170" s="252">
        <v>4690000</v>
      </c>
      <c r="O170" s="272"/>
    </row>
    <row r="171" s="223" customFormat="1" ht="15.25" customHeight="1" spans="1:15">
      <c r="A171" s="246" t="s">
        <v>532</v>
      </c>
      <c r="B171" s="266" t="s">
        <v>533</v>
      </c>
      <c r="C171" s="296"/>
      <c r="D171" s="296"/>
      <c r="E171" s="296"/>
      <c r="F171" s="248">
        <f>F172</f>
        <v>8067000</v>
      </c>
      <c r="G171" s="248">
        <f t="shared" ref="G171:O171" si="71">G172</f>
        <v>0</v>
      </c>
      <c r="H171" s="248">
        <f t="shared" si="71"/>
        <v>0</v>
      </c>
      <c r="I171" s="248">
        <f t="shared" si="71"/>
        <v>8067000</v>
      </c>
      <c r="J171" s="248">
        <f t="shared" si="71"/>
        <v>0</v>
      </c>
      <c r="K171" s="248">
        <f t="shared" si="71"/>
        <v>0</v>
      </c>
      <c r="L171" s="248">
        <f t="shared" si="71"/>
        <v>8067000</v>
      </c>
      <c r="M171" s="248">
        <f t="shared" si="71"/>
        <v>0</v>
      </c>
      <c r="N171" s="248">
        <f t="shared" si="71"/>
        <v>0</v>
      </c>
      <c r="O171" s="248">
        <f t="shared" si="71"/>
        <v>0</v>
      </c>
    </row>
    <row r="172" s="223" customFormat="1" ht="15.25" customHeight="1" spans="1:15">
      <c r="A172" s="246" t="s">
        <v>485</v>
      </c>
      <c r="B172" s="266" t="s">
        <v>196</v>
      </c>
      <c r="C172" s="296"/>
      <c r="D172" s="296"/>
      <c r="E172" s="296"/>
      <c r="F172" s="248">
        <f>F173+F178+F181</f>
        <v>8067000</v>
      </c>
      <c r="G172" s="248">
        <f t="shared" ref="G172:O172" si="72">G173+G178+G181</f>
        <v>0</v>
      </c>
      <c r="H172" s="248">
        <f t="shared" si="72"/>
        <v>0</v>
      </c>
      <c r="I172" s="248">
        <f t="shared" si="72"/>
        <v>8067000</v>
      </c>
      <c r="J172" s="248">
        <f t="shared" si="72"/>
        <v>0</v>
      </c>
      <c r="K172" s="248">
        <f t="shared" si="72"/>
        <v>0</v>
      </c>
      <c r="L172" s="248">
        <f t="shared" si="72"/>
        <v>8067000</v>
      </c>
      <c r="M172" s="248">
        <f t="shared" si="72"/>
        <v>0</v>
      </c>
      <c r="N172" s="248">
        <f t="shared" si="72"/>
        <v>0</v>
      </c>
      <c r="O172" s="248">
        <f t="shared" si="72"/>
        <v>0</v>
      </c>
    </row>
    <row r="173" s="223" customFormat="1" ht="15.25" customHeight="1" spans="1:15">
      <c r="A173" s="246" t="s">
        <v>486</v>
      </c>
      <c r="B173" s="266" t="s">
        <v>487</v>
      </c>
      <c r="C173" s="296"/>
      <c r="D173" s="296"/>
      <c r="E173" s="296"/>
      <c r="F173" s="248">
        <f>SUM(F174:F177)</f>
        <v>5417000</v>
      </c>
      <c r="G173" s="248">
        <f t="shared" ref="G173:O173" si="73">SUM(G174:G177)</f>
        <v>0</v>
      </c>
      <c r="H173" s="248">
        <f t="shared" si="73"/>
        <v>0</v>
      </c>
      <c r="I173" s="248">
        <f t="shared" si="73"/>
        <v>5417000</v>
      </c>
      <c r="J173" s="248">
        <f t="shared" si="73"/>
        <v>0</v>
      </c>
      <c r="K173" s="248">
        <f t="shared" si="73"/>
        <v>0</v>
      </c>
      <c r="L173" s="248">
        <f t="shared" si="73"/>
        <v>5417000</v>
      </c>
      <c r="M173" s="248">
        <f t="shared" si="73"/>
        <v>0</v>
      </c>
      <c r="N173" s="248">
        <f t="shared" si="73"/>
        <v>0</v>
      </c>
      <c r="O173" s="248">
        <f t="shared" si="73"/>
        <v>0</v>
      </c>
    </row>
    <row r="174" s="224" customFormat="1" ht="15.25" customHeight="1" spans="1:15">
      <c r="A174" s="251" t="s">
        <v>534</v>
      </c>
      <c r="B174" s="247" t="s">
        <v>535</v>
      </c>
      <c r="C174" s="298"/>
      <c r="D174" s="298"/>
      <c r="E174" s="298"/>
      <c r="F174" s="252">
        <v>667000</v>
      </c>
      <c r="G174" s="252"/>
      <c r="H174" s="252"/>
      <c r="I174" s="252">
        <v>667000</v>
      </c>
      <c r="J174" s="252"/>
      <c r="K174" s="280"/>
      <c r="L174" s="252">
        <v>667000</v>
      </c>
      <c r="M174" s="302"/>
      <c r="N174" s="302"/>
      <c r="O174" s="302"/>
    </row>
    <row r="175" s="224" customFormat="1" ht="15.25" customHeight="1" spans="1:15">
      <c r="A175" s="251" t="s">
        <v>536</v>
      </c>
      <c r="B175" s="247" t="s">
        <v>537</v>
      </c>
      <c r="C175" s="298"/>
      <c r="D175" s="298"/>
      <c r="E175" s="298"/>
      <c r="F175" s="252">
        <v>500000</v>
      </c>
      <c r="G175" s="252"/>
      <c r="H175" s="252"/>
      <c r="I175" s="252">
        <v>500000</v>
      </c>
      <c r="J175" s="252"/>
      <c r="K175" s="280"/>
      <c r="L175" s="252">
        <v>500000</v>
      </c>
      <c r="M175" s="302"/>
      <c r="N175" s="302"/>
      <c r="O175" s="302"/>
    </row>
    <row r="176" s="224" customFormat="1" ht="15.25" customHeight="1" spans="1:15">
      <c r="A176" s="251" t="s">
        <v>538</v>
      </c>
      <c r="B176" s="247" t="s">
        <v>539</v>
      </c>
      <c r="C176" s="298"/>
      <c r="D176" s="298"/>
      <c r="E176" s="298"/>
      <c r="F176" s="252">
        <v>1750000</v>
      </c>
      <c r="G176" s="252"/>
      <c r="H176" s="252"/>
      <c r="I176" s="252">
        <v>1750000</v>
      </c>
      <c r="J176" s="252"/>
      <c r="K176" s="280"/>
      <c r="L176" s="252">
        <v>1750000</v>
      </c>
      <c r="M176" s="302"/>
      <c r="N176" s="302"/>
      <c r="O176" s="302"/>
    </row>
    <row r="177" s="224" customFormat="1" ht="15.25" customHeight="1" spans="1:15">
      <c r="A177" s="251" t="s">
        <v>423</v>
      </c>
      <c r="B177" s="247" t="s">
        <v>424</v>
      </c>
      <c r="C177" s="298"/>
      <c r="D177" s="298"/>
      <c r="E177" s="298"/>
      <c r="F177" s="252">
        <v>2500000</v>
      </c>
      <c r="G177" s="252"/>
      <c r="H177" s="252"/>
      <c r="I177" s="252">
        <v>2500000</v>
      </c>
      <c r="J177" s="252"/>
      <c r="K177" s="280"/>
      <c r="L177" s="252">
        <v>2500000</v>
      </c>
      <c r="M177" s="302"/>
      <c r="N177" s="302"/>
      <c r="O177" s="302"/>
    </row>
    <row r="178" s="223" customFormat="1" ht="15.25" customHeight="1" spans="1:15">
      <c r="A178" s="246" t="s">
        <v>540</v>
      </c>
      <c r="B178" s="266" t="s">
        <v>235</v>
      </c>
      <c r="C178" s="296"/>
      <c r="D178" s="296"/>
      <c r="E178" s="296"/>
      <c r="F178" s="248">
        <f>SUM(F179:F180)</f>
        <v>2150000</v>
      </c>
      <c r="G178" s="248">
        <f t="shared" ref="G178:O178" si="74">SUM(G179:G180)</f>
        <v>0</v>
      </c>
      <c r="H178" s="248">
        <f t="shared" si="74"/>
        <v>0</v>
      </c>
      <c r="I178" s="248">
        <f t="shared" si="74"/>
        <v>2150000</v>
      </c>
      <c r="J178" s="248">
        <f t="shared" si="74"/>
        <v>0</v>
      </c>
      <c r="K178" s="248">
        <f t="shared" si="74"/>
        <v>0</v>
      </c>
      <c r="L178" s="248">
        <f t="shared" si="74"/>
        <v>2150000</v>
      </c>
      <c r="M178" s="248">
        <f t="shared" si="74"/>
        <v>0</v>
      </c>
      <c r="N178" s="248">
        <f t="shared" si="74"/>
        <v>0</v>
      </c>
      <c r="O178" s="248">
        <f t="shared" si="74"/>
        <v>0</v>
      </c>
    </row>
    <row r="179" s="224" customFormat="1" ht="15.25" customHeight="1" spans="1:15">
      <c r="A179" s="251" t="s">
        <v>541</v>
      </c>
      <c r="B179" s="247" t="s">
        <v>542</v>
      </c>
      <c r="C179" s="298"/>
      <c r="D179" s="298"/>
      <c r="E179" s="298"/>
      <c r="F179" s="252">
        <v>1550000</v>
      </c>
      <c r="G179" s="252"/>
      <c r="H179" s="252"/>
      <c r="I179" s="252">
        <v>1550000</v>
      </c>
      <c r="J179" s="252"/>
      <c r="K179" s="280"/>
      <c r="L179" s="252">
        <v>1550000</v>
      </c>
      <c r="M179" s="302"/>
      <c r="N179" s="302"/>
      <c r="O179" s="302"/>
    </row>
    <row r="180" s="224" customFormat="1" ht="15.25" customHeight="1" spans="1:15">
      <c r="A180" s="251" t="s">
        <v>543</v>
      </c>
      <c r="B180" s="247" t="s">
        <v>544</v>
      </c>
      <c r="C180" s="298"/>
      <c r="D180" s="298"/>
      <c r="E180" s="298"/>
      <c r="F180" s="252">
        <v>600000</v>
      </c>
      <c r="G180" s="252"/>
      <c r="H180" s="252"/>
      <c r="I180" s="252">
        <v>600000</v>
      </c>
      <c r="J180" s="252"/>
      <c r="K180" s="280"/>
      <c r="L180" s="252">
        <v>600000</v>
      </c>
      <c r="M180" s="302"/>
      <c r="N180" s="302"/>
      <c r="O180" s="302"/>
    </row>
    <row r="181" s="223" customFormat="1" ht="15.25" customHeight="1" spans="1:16">
      <c r="A181" s="246" t="s">
        <v>545</v>
      </c>
      <c r="B181" s="266" t="s">
        <v>236</v>
      </c>
      <c r="C181" s="296"/>
      <c r="D181" s="296"/>
      <c r="E181" s="296"/>
      <c r="F181" s="248">
        <f>F182</f>
        <v>500000</v>
      </c>
      <c r="G181" s="248">
        <f t="shared" ref="G181:P181" si="75">G182</f>
        <v>0</v>
      </c>
      <c r="H181" s="248">
        <f t="shared" si="75"/>
        <v>0</v>
      </c>
      <c r="I181" s="248">
        <f t="shared" si="75"/>
        <v>500000</v>
      </c>
      <c r="J181" s="248">
        <f t="shared" si="75"/>
        <v>0</v>
      </c>
      <c r="K181" s="248">
        <f t="shared" si="75"/>
        <v>0</v>
      </c>
      <c r="L181" s="248">
        <f t="shared" si="75"/>
        <v>500000</v>
      </c>
      <c r="M181" s="248">
        <f t="shared" si="75"/>
        <v>0</v>
      </c>
      <c r="N181" s="248">
        <f t="shared" si="75"/>
        <v>0</v>
      </c>
      <c r="O181" s="248">
        <f t="shared" si="75"/>
        <v>0</v>
      </c>
      <c r="P181" s="248"/>
    </row>
    <row r="182" s="224" customFormat="1" ht="15.25" customHeight="1" spans="1:15">
      <c r="A182" s="251" t="s">
        <v>546</v>
      </c>
      <c r="B182" s="247" t="s">
        <v>547</v>
      </c>
      <c r="C182" s="298"/>
      <c r="D182" s="298"/>
      <c r="E182" s="298"/>
      <c r="F182" s="252">
        <v>500000</v>
      </c>
      <c r="G182" s="252"/>
      <c r="H182" s="252"/>
      <c r="I182" s="252">
        <v>500000</v>
      </c>
      <c r="J182" s="252"/>
      <c r="K182" s="280"/>
      <c r="L182" s="252">
        <v>500000</v>
      </c>
      <c r="M182" s="302"/>
      <c r="N182" s="302"/>
      <c r="O182" s="302"/>
    </row>
    <row r="183" s="223" customFormat="1" ht="15.25" customHeight="1" spans="1:15">
      <c r="A183" s="246" t="s">
        <v>548</v>
      </c>
      <c r="B183" s="266" t="s">
        <v>549</v>
      </c>
      <c r="C183" s="296"/>
      <c r="D183" s="296"/>
      <c r="E183" s="296"/>
      <c r="F183" s="248">
        <f>F184</f>
        <v>1289600</v>
      </c>
      <c r="G183" s="248"/>
      <c r="H183" s="248"/>
      <c r="I183" s="248">
        <f t="shared" ref="I183:O184" si="76">I184</f>
        <v>1289600</v>
      </c>
      <c r="J183" s="248"/>
      <c r="K183" s="276">
        <f t="shared" si="76"/>
        <v>0</v>
      </c>
      <c r="L183" s="277">
        <f t="shared" si="76"/>
        <v>0</v>
      </c>
      <c r="M183" s="277">
        <f t="shared" si="76"/>
        <v>0</v>
      </c>
      <c r="N183" s="277">
        <f t="shared" si="76"/>
        <v>1289600</v>
      </c>
      <c r="O183" s="277">
        <f t="shared" si="76"/>
        <v>0</v>
      </c>
    </row>
    <row r="184" s="223" customFormat="1" ht="16.75" customHeight="1" spans="1:15">
      <c r="A184" s="246" t="s">
        <v>525</v>
      </c>
      <c r="B184" s="266" t="s">
        <v>412</v>
      </c>
      <c r="C184" s="296"/>
      <c r="D184" s="296"/>
      <c r="E184" s="296"/>
      <c r="F184" s="248">
        <f>F185</f>
        <v>1289600</v>
      </c>
      <c r="G184" s="248"/>
      <c r="H184" s="248"/>
      <c r="I184" s="248">
        <f t="shared" si="76"/>
        <v>1289600</v>
      </c>
      <c r="J184" s="248"/>
      <c r="K184" s="276">
        <f t="shared" si="76"/>
        <v>0</v>
      </c>
      <c r="L184" s="277">
        <f t="shared" si="76"/>
        <v>0</v>
      </c>
      <c r="M184" s="277">
        <f t="shared" si="76"/>
        <v>0</v>
      </c>
      <c r="N184" s="277">
        <f t="shared" si="76"/>
        <v>1289600</v>
      </c>
      <c r="O184" s="277">
        <f t="shared" si="76"/>
        <v>0</v>
      </c>
    </row>
    <row r="185" s="223" customFormat="1" ht="15.25" customHeight="1" spans="1:15">
      <c r="A185" s="249" t="s">
        <v>526</v>
      </c>
      <c r="B185" s="266" t="s">
        <v>452</v>
      </c>
      <c r="C185" s="296"/>
      <c r="D185" s="296"/>
      <c r="E185" s="296"/>
      <c r="F185" s="250">
        <f>SUM(F186:F188)</f>
        <v>1289600</v>
      </c>
      <c r="G185" s="250"/>
      <c r="H185" s="250"/>
      <c r="I185" s="250">
        <f t="shared" ref="I185:O185" si="77">SUM(I186:I188)</f>
        <v>1289600</v>
      </c>
      <c r="J185" s="250"/>
      <c r="K185" s="278">
        <f t="shared" si="77"/>
        <v>0</v>
      </c>
      <c r="L185" s="279">
        <f t="shared" si="77"/>
        <v>0</v>
      </c>
      <c r="M185" s="279">
        <f t="shared" si="77"/>
        <v>0</v>
      </c>
      <c r="N185" s="279">
        <f t="shared" si="77"/>
        <v>1289600</v>
      </c>
      <c r="O185" s="279">
        <f t="shared" si="77"/>
        <v>0</v>
      </c>
    </row>
    <row r="186" ht="15.75" customHeight="1" spans="1:15">
      <c r="A186" s="251" t="s">
        <v>415</v>
      </c>
      <c r="B186" s="247" t="s">
        <v>416</v>
      </c>
      <c r="C186" s="270"/>
      <c r="D186" s="270"/>
      <c r="E186" s="270"/>
      <c r="F186" s="252">
        <v>50000</v>
      </c>
      <c r="G186" s="252"/>
      <c r="H186" s="252"/>
      <c r="I186" s="252">
        <v>50000</v>
      </c>
      <c r="J186" s="274">
        <v>100</v>
      </c>
      <c r="K186" s="292">
        <v>0</v>
      </c>
      <c r="L186" s="302"/>
      <c r="M186" s="272"/>
      <c r="N186" s="252">
        <v>50000</v>
      </c>
      <c r="O186" s="272"/>
    </row>
    <row r="187" ht="15.75" customHeight="1" spans="1:15">
      <c r="A187" s="251" t="s">
        <v>419</v>
      </c>
      <c r="B187" s="247" t="s">
        <v>420</v>
      </c>
      <c r="C187" s="270"/>
      <c r="D187" s="270"/>
      <c r="E187" s="270"/>
      <c r="F187" s="252">
        <v>294600</v>
      </c>
      <c r="G187" s="252"/>
      <c r="H187" s="252"/>
      <c r="I187" s="252">
        <v>294600</v>
      </c>
      <c r="J187" s="274">
        <v>100</v>
      </c>
      <c r="K187" s="292">
        <v>0</v>
      </c>
      <c r="L187" s="302"/>
      <c r="M187" s="272"/>
      <c r="N187" s="252">
        <v>294600</v>
      </c>
      <c r="O187" s="272"/>
    </row>
    <row r="188" ht="16.25" customHeight="1" spans="1:15">
      <c r="A188" s="251" t="s">
        <v>421</v>
      </c>
      <c r="B188" s="247" t="s">
        <v>422</v>
      </c>
      <c r="C188" s="270"/>
      <c r="D188" s="270"/>
      <c r="E188" s="270"/>
      <c r="F188" s="252">
        <v>945000</v>
      </c>
      <c r="G188" s="252"/>
      <c r="H188" s="252"/>
      <c r="I188" s="252">
        <v>945000</v>
      </c>
      <c r="J188" s="274">
        <v>100</v>
      </c>
      <c r="K188" s="292">
        <v>0</v>
      </c>
      <c r="L188" s="302"/>
      <c r="M188" s="272"/>
      <c r="N188" s="252">
        <v>945000</v>
      </c>
      <c r="O188" s="272"/>
    </row>
    <row r="189" s="223" customFormat="1" ht="16.5" customHeight="1" spans="1:15">
      <c r="A189" s="299" t="s">
        <v>550</v>
      </c>
      <c r="B189" s="263" t="s">
        <v>551</v>
      </c>
      <c r="C189" s="305"/>
      <c r="D189" s="305"/>
      <c r="E189" s="305"/>
      <c r="F189" s="301">
        <f>F190</f>
        <v>3739113</v>
      </c>
      <c r="G189" s="301"/>
      <c r="H189" s="301"/>
      <c r="I189" s="301">
        <f t="shared" ref="I189:O191" si="78">I190</f>
        <v>3739000</v>
      </c>
      <c r="J189" s="301"/>
      <c r="K189" s="310">
        <f t="shared" si="78"/>
        <v>0</v>
      </c>
      <c r="L189" s="277">
        <f t="shared" si="78"/>
        <v>0</v>
      </c>
      <c r="M189" s="277">
        <f t="shared" si="78"/>
        <v>3739000</v>
      </c>
      <c r="N189" s="277">
        <f t="shared" si="78"/>
        <v>0</v>
      </c>
      <c r="O189" s="277">
        <f t="shared" si="78"/>
        <v>0</v>
      </c>
    </row>
    <row r="190" s="223" customFormat="1" ht="16.75" customHeight="1" spans="1:15">
      <c r="A190" s="246" t="s">
        <v>525</v>
      </c>
      <c r="B190" s="266" t="s">
        <v>412</v>
      </c>
      <c r="C190" s="296"/>
      <c r="D190" s="296"/>
      <c r="E190" s="296"/>
      <c r="F190" s="248">
        <f>F191+F193</f>
        <v>3739113</v>
      </c>
      <c r="G190" s="248">
        <f t="shared" ref="G190:O190" si="79">G191+G193</f>
        <v>0</v>
      </c>
      <c r="H190" s="248">
        <f t="shared" si="79"/>
        <v>0</v>
      </c>
      <c r="I190" s="248">
        <f t="shared" si="79"/>
        <v>3739000</v>
      </c>
      <c r="J190" s="248">
        <f t="shared" si="79"/>
        <v>0</v>
      </c>
      <c r="K190" s="248">
        <f t="shared" si="79"/>
        <v>0</v>
      </c>
      <c r="L190" s="248">
        <f t="shared" si="79"/>
        <v>0</v>
      </c>
      <c r="M190" s="248">
        <f t="shared" si="79"/>
        <v>3739000</v>
      </c>
      <c r="N190" s="248">
        <f t="shared" si="79"/>
        <v>0</v>
      </c>
      <c r="O190" s="248">
        <f t="shared" si="79"/>
        <v>0</v>
      </c>
    </row>
    <row r="191" s="223" customFormat="1" ht="15.5" customHeight="1" spans="1:15">
      <c r="A191" s="249" t="s">
        <v>486</v>
      </c>
      <c r="B191" s="266" t="s">
        <v>527</v>
      </c>
      <c r="C191" s="296"/>
      <c r="D191" s="296"/>
      <c r="E191" s="296"/>
      <c r="F191" s="250">
        <f>F192</f>
        <v>139113</v>
      </c>
      <c r="G191" s="250">
        <f t="shared" ref="G191:O191" si="80">G192</f>
        <v>0</v>
      </c>
      <c r="H191" s="250">
        <f t="shared" si="80"/>
        <v>0</v>
      </c>
      <c r="I191" s="250">
        <f t="shared" si="80"/>
        <v>139000</v>
      </c>
      <c r="J191" s="250">
        <f t="shared" si="80"/>
        <v>0</v>
      </c>
      <c r="K191" s="250">
        <f t="shared" si="80"/>
        <v>0</v>
      </c>
      <c r="L191" s="250">
        <f t="shared" si="80"/>
        <v>0</v>
      </c>
      <c r="M191" s="250">
        <f t="shared" si="80"/>
        <v>139000</v>
      </c>
      <c r="N191" s="250">
        <f t="shared" si="80"/>
        <v>0</v>
      </c>
      <c r="O191" s="250">
        <f t="shared" si="80"/>
        <v>0</v>
      </c>
    </row>
    <row r="192" s="224" customFormat="1" ht="15.5" customHeight="1" spans="1:15">
      <c r="A192" s="307" t="s">
        <v>552</v>
      </c>
      <c r="B192" s="247" t="s">
        <v>553</v>
      </c>
      <c r="C192" s="298"/>
      <c r="D192" s="298"/>
      <c r="E192" s="298"/>
      <c r="F192" s="308">
        <v>139113</v>
      </c>
      <c r="G192" s="308"/>
      <c r="H192" s="308"/>
      <c r="I192" s="308">
        <v>139000</v>
      </c>
      <c r="J192" s="308"/>
      <c r="K192" s="311"/>
      <c r="L192" s="312"/>
      <c r="M192" s="308">
        <v>139000</v>
      </c>
      <c r="N192" s="312"/>
      <c r="O192" s="312"/>
    </row>
    <row r="193" s="223" customFormat="1" ht="15.5" customHeight="1" spans="1:15">
      <c r="A193" s="249" t="s">
        <v>554</v>
      </c>
      <c r="B193" s="266" t="s">
        <v>453</v>
      </c>
      <c r="C193" s="296"/>
      <c r="D193" s="296"/>
      <c r="E193" s="296"/>
      <c r="F193" s="250">
        <f>F194</f>
        <v>3600000</v>
      </c>
      <c r="G193" s="250"/>
      <c r="H193" s="250"/>
      <c r="I193" s="250">
        <f>I194</f>
        <v>3600000</v>
      </c>
      <c r="J193" s="250"/>
      <c r="K193" s="278">
        <f>K194</f>
        <v>0</v>
      </c>
      <c r="L193" s="279">
        <f>L194</f>
        <v>0</v>
      </c>
      <c r="M193" s="279">
        <f>M194</f>
        <v>3600000</v>
      </c>
      <c r="N193" s="279">
        <f>N194</f>
        <v>0</v>
      </c>
      <c r="O193" s="279">
        <f>O194</f>
        <v>0</v>
      </c>
    </row>
    <row r="194" customHeight="1" spans="1:15">
      <c r="A194" s="251" t="s">
        <v>515</v>
      </c>
      <c r="B194" s="247" t="s">
        <v>555</v>
      </c>
      <c r="C194" s="270"/>
      <c r="D194" s="270"/>
      <c r="E194" s="270"/>
      <c r="F194" s="252">
        <v>3600000</v>
      </c>
      <c r="G194" s="252"/>
      <c r="H194" s="252"/>
      <c r="I194" s="252">
        <v>3600000</v>
      </c>
      <c r="J194" s="274">
        <v>100</v>
      </c>
      <c r="K194" s="292">
        <v>0</v>
      </c>
      <c r="L194" s="302"/>
      <c r="M194" s="252">
        <v>3600000</v>
      </c>
      <c r="N194" s="272"/>
      <c r="O194" s="272"/>
    </row>
    <row r="195" s="223" customFormat="1" ht="15.25" customHeight="1" spans="1:15">
      <c r="A195" s="246" t="s">
        <v>556</v>
      </c>
      <c r="B195" s="266" t="s">
        <v>557</v>
      </c>
      <c r="C195" s="296"/>
      <c r="D195" s="296"/>
      <c r="E195" s="296"/>
      <c r="F195" s="248">
        <f>F196</f>
        <v>18050750</v>
      </c>
      <c r="G195" s="248"/>
      <c r="H195" s="248"/>
      <c r="I195" s="248">
        <f t="shared" ref="I195:M195" si="81">I196</f>
        <v>18050750</v>
      </c>
      <c r="J195" s="248"/>
      <c r="K195" s="276">
        <f t="shared" si="81"/>
        <v>0</v>
      </c>
      <c r="L195" s="277">
        <f t="shared" si="81"/>
        <v>11495000</v>
      </c>
      <c r="M195" s="277">
        <f t="shared" si="81"/>
        <v>6555750</v>
      </c>
      <c r="N195" s="277">
        <f t="shared" ref="N195:O195" si="82">N196</f>
        <v>0</v>
      </c>
      <c r="O195" s="277">
        <f t="shared" si="82"/>
        <v>0</v>
      </c>
    </row>
    <row r="196" s="223" customFormat="1" ht="17" customHeight="1" spans="1:15">
      <c r="A196" s="246" t="s">
        <v>525</v>
      </c>
      <c r="B196" s="266" t="s">
        <v>412</v>
      </c>
      <c r="C196" s="296"/>
      <c r="D196" s="296"/>
      <c r="E196" s="296"/>
      <c r="F196" s="248">
        <f>F197+F202+F205</f>
        <v>18050750</v>
      </c>
      <c r="G196" s="248"/>
      <c r="H196" s="248"/>
      <c r="I196" s="248">
        <f t="shared" ref="I196:O196" si="83">I197+I202+I205</f>
        <v>18050750</v>
      </c>
      <c r="J196" s="248"/>
      <c r="K196" s="276">
        <f t="shared" si="83"/>
        <v>0</v>
      </c>
      <c r="L196" s="277">
        <f t="shared" si="83"/>
        <v>11495000</v>
      </c>
      <c r="M196" s="277">
        <f t="shared" si="83"/>
        <v>6555750</v>
      </c>
      <c r="N196" s="277">
        <f t="shared" si="83"/>
        <v>0</v>
      </c>
      <c r="O196" s="277">
        <f t="shared" si="83"/>
        <v>0</v>
      </c>
    </row>
    <row r="197" s="223" customFormat="1" ht="15.25" customHeight="1" spans="1:15">
      <c r="A197" s="249" t="s">
        <v>526</v>
      </c>
      <c r="B197" s="266" t="s">
        <v>452</v>
      </c>
      <c r="C197" s="296"/>
      <c r="D197" s="296"/>
      <c r="E197" s="296"/>
      <c r="F197" s="250">
        <f>SUM(F198:F201)</f>
        <v>11800750</v>
      </c>
      <c r="G197" s="250"/>
      <c r="H197" s="250"/>
      <c r="I197" s="250">
        <f>SUM(I198:I201)</f>
        <v>11800750</v>
      </c>
      <c r="J197" s="250"/>
      <c r="K197" s="278">
        <f t="shared" ref="I197:O197" si="84">SUM(K198:K201)</f>
        <v>0</v>
      </c>
      <c r="L197" s="279">
        <f t="shared" si="84"/>
        <v>11495000</v>
      </c>
      <c r="M197" s="279">
        <f t="shared" si="84"/>
        <v>305750</v>
      </c>
      <c r="N197" s="279">
        <f t="shared" si="84"/>
        <v>0</v>
      </c>
      <c r="O197" s="279">
        <f t="shared" si="84"/>
        <v>0</v>
      </c>
    </row>
    <row r="198" ht="15.75" customHeight="1" spans="1:15">
      <c r="A198" s="251" t="s">
        <v>415</v>
      </c>
      <c r="B198" s="247" t="s">
        <v>416</v>
      </c>
      <c r="C198" s="270"/>
      <c r="D198" s="270"/>
      <c r="E198" s="270"/>
      <c r="F198" s="252">
        <v>305750</v>
      </c>
      <c r="G198" s="252"/>
      <c r="H198" s="252"/>
      <c r="I198" s="252">
        <v>305750</v>
      </c>
      <c r="J198" s="274">
        <v>0</v>
      </c>
      <c r="K198" s="280"/>
      <c r="L198" s="272"/>
      <c r="M198" s="272">
        <v>305750</v>
      </c>
      <c r="N198" s="272"/>
      <c r="O198" s="272"/>
    </row>
    <row r="199" ht="15.75" customHeight="1" spans="1:15">
      <c r="A199" s="251" t="s">
        <v>419</v>
      </c>
      <c r="B199" s="247" t="s">
        <v>420</v>
      </c>
      <c r="C199" s="270"/>
      <c r="D199" s="270"/>
      <c r="E199" s="270"/>
      <c r="F199" s="252">
        <v>420000</v>
      </c>
      <c r="G199" s="252"/>
      <c r="H199" s="252"/>
      <c r="I199" s="252">
        <v>420000</v>
      </c>
      <c r="J199" s="274">
        <v>0</v>
      </c>
      <c r="K199" s="280"/>
      <c r="L199" s="252">
        <v>420000</v>
      </c>
      <c r="M199" s="272"/>
      <c r="N199" s="272"/>
      <c r="O199" s="272"/>
    </row>
    <row r="200" ht="15.75" customHeight="1" spans="1:15">
      <c r="A200" s="251" t="s">
        <v>421</v>
      </c>
      <c r="B200" s="247" t="s">
        <v>422</v>
      </c>
      <c r="C200" s="270"/>
      <c r="D200" s="270"/>
      <c r="E200" s="270"/>
      <c r="F200" s="252">
        <v>8575000</v>
      </c>
      <c r="G200" s="252"/>
      <c r="H200" s="252"/>
      <c r="I200" s="252">
        <v>8575000</v>
      </c>
      <c r="J200" s="274">
        <v>0</v>
      </c>
      <c r="K200" s="280"/>
      <c r="L200" s="252">
        <v>8575000</v>
      </c>
      <c r="M200" s="272"/>
      <c r="N200" s="272"/>
      <c r="O200" s="272"/>
    </row>
    <row r="201" ht="15.75" customHeight="1" spans="1:15">
      <c r="A201" s="251" t="s">
        <v>558</v>
      </c>
      <c r="B201" s="247" t="s">
        <v>508</v>
      </c>
      <c r="C201" s="270"/>
      <c r="D201" s="270"/>
      <c r="E201" s="270"/>
      <c r="F201" s="252">
        <v>2500000</v>
      </c>
      <c r="G201" s="252"/>
      <c r="H201" s="252"/>
      <c r="I201" s="252">
        <v>2500000</v>
      </c>
      <c r="J201" s="274">
        <v>0</v>
      </c>
      <c r="K201" s="280"/>
      <c r="L201" s="252">
        <v>2500000</v>
      </c>
      <c r="M201" s="272"/>
      <c r="N201" s="272"/>
      <c r="O201" s="272"/>
    </row>
    <row r="202" s="223" customFormat="1" ht="15.75" customHeight="1" spans="1:15">
      <c r="A202" s="249" t="s">
        <v>554</v>
      </c>
      <c r="B202" s="266" t="s">
        <v>453</v>
      </c>
      <c r="C202" s="296"/>
      <c r="D202" s="296"/>
      <c r="E202" s="296"/>
      <c r="F202" s="250">
        <f>SUM(F203:F204)</f>
        <v>5750000</v>
      </c>
      <c r="G202" s="250">
        <f t="shared" ref="G202:O202" si="85">SUM(G203:G204)</f>
        <v>0</v>
      </c>
      <c r="H202" s="250">
        <f t="shared" si="85"/>
        <v>0</v>
      </c>
      <c r="I202" s="250">
        <f t="shared" si="85"/>
        <v>5750000</v>
      </c>
      <c r="J202" s="250">
        <f t="shared" si="85"/>
        <v>0</v>
      </c>
      <c r="K202" s="250">
        <f t="shared" si="85"/>
        <v>0</v>
      </c>
      <c r="L202" s="250">
        <f t="shared" si="85"/>
        <v>0</v>
      </c>
      <c r="M202" s="250">
        <f t="shared" si="85"/>
        <v>5750000</v>
      </c>
      <c r="N202" s="250">
        <f t="shared" si="85"/>
        <v>0</v>
      </c>
      <c r="O202" s="250">
        <f t="shared" si="85"/>
        <v>0</v>
      </c>
    </row>
    <row r="203" ht="15.75" customHeight="1" spans="1:15">
      <c r="A203" s="251" t="s">
        <v>515</v>
      </c>
      <c r="B203" s="247" t="s">
        <v>555</v>
      </c>
      <c r="C203" s="270"/>
      <c r="D203" s="270"/>
      <c r="E203" s="270"/>
      <c r="F203" s="252">
        <v>4150000</v>
      </c>
      <c r="G203" s="252"/>
      <c r="H203" s="252"/>
      <c r="I203" s="252">
        <v>4150000</v>
      </c>
      <c r="J203" s="274">
        <v>0</v>
      </c>
      <c r="K203" s="280"/>
      <c r="L203" s="272"/>
      <c r="M203" s="272">
        <v>4150000</v>
      </c>
      <c r="N203" s="272"/>
      <c r="O203" s="272"/>
    </row>
    <row r="204" ht="15.75" customHeight="1" spans="1:15">
      <c r="A204" s="251" t="s">
        <v>429</v>
      </c>
      <c r="B204" s="247" t="s">
        <v>454</v>
      </c>
      <c r="C204" s="270"/>
      <c r="D204" s="270"/>
      <c r="E204" s="270"/>
      <c r="F204" s="252">
        <v>1600000</v>
      </c>
      <c r="G204" s="252"/>
      <c r="H204" s="252"/>
      <c r="I204" s="252">
        <v>1600000</v>
      </c>
      <c r="J204" s="274">
        <v>0</v>
      </c>
      <c r="K204" s="280"/>
      <c r="L204" s="272"/>
      <c r="M204" s="272">
        <v>1600000</v>
      </c>
      <c r="N204" s="272"/>
      <c r="O204" s="272"/>
    </row>
    <row r="205" s="223" customFormat="1" ht="15.75" customHeight="1" spans="1:15">
      <c r="A205" s="249" t="s">
        <v>559</v>
      </c>
      <c r="B205" s="266" t="s">
        <v>560</v>
      </c>
      <c r="C205" s="296"/>
      <c r="D205" s="296"/>
      <c r="E205" s="296"/>
      <c r="F205" s="250">
        <f>F206</f>
        <v>500000</v>
      </c>
      <c r="G205" s="250"/>
      <c r="H205" s="250"/>
      <c r="I205" s="250">
        <f t="shared" ref="I205:O205" si="86">I206</f>
        <v>500000</v>
      </c>
      <c r="J205" s="250"/>
      <c r="K205" s="278">
        <f t="shared" si="86"/>
        <v>0</v>
      </c>
      <c r="L205" s="279">
        <f t="shared" si="86"/>
        <v>0</v>
      </c>
      <c r="M205" s="279">
        <f t="shared" si="86"/>
        <v>500000</v>
      </c>
      <c r="N205" s="279">
        <f t="shared" si="86"/>
        <v>0</v>
      </c>
      <c r="O205" s="279">
        <f t="shared" si="86"/>
        <v>0</v>
      </c>
    </row>
    <row r="206" ht="14.75" customHeight="1" spans="1:15">
      <c r="A206" s="251" t="s">
        <v>561</v>
      </c>
      <c r="B206" s="247" t="s">
        <v>562</v>
      </c>
      <c r="C206" s="270"/>
      <c r="D206" s="270"/>
      <c r="E206" s="270"/>
      <c r="F206" s="252">
        <v>500000</v>
      </c>
      <c r="G206" s="252"/>
      <c r="H206" s="252"/>
      <c r="I206" s="252">
        <v>500000</v>
      </c>
      <c r="J206" s="274">
        <v>0</v>
      </c>
      <c r="K206" s="280"/>
      <c r="L206" s="272"/>
      <c r="M206" s="272">
        <v>500000</v>
      </c>
      <c r="N206" s="272"/>
      <c r="O206" s="272"/>
    </row>
    <row r="207" s="223" customFormat="1" ht="15" customHeight="1" spans="1:15">
      <c r="A207" s="313" t="s">
        <v>563</v>
      </c>
      <c r="B207" s="266" t="s">
        <v>564</v>
      </c>
      <c r="C207" s="296"/>
      <c r="D207" s="296"/>
      <c r="E207" s="296"/>
      <c r="F207" s="248">
        <f>F208</f>
        <v>2800000</v>
      </c>
      <c r="G207" s="248">
        <f t="shared" ref="G207:O207" si="87">G208</f>
        <v>0</v>
      </c>
      <c r="H207" s="248">
        <f t="shared" si="87"/>
        <v>0</v>
      </c>
      <c r="I207" s="248">
        <f t="shared" si="87"/>
        <v>2152500</v>
      </c>
      <c r="J207" s="248">
        <f t="shared" si="87"/>
        <v>0</v>
      </c>
      <c r="K207" s="248">
        <f t="shared" si="87"/>
        <v>0</v>
      </c>
      <c r="L207" s="248">
        <f t="shared" si="87"/>
        <v>2152500</v>
      </c>
      <c r="M207" s="248">
        <f t="shared" si="87"/>
        <v>0</v>
      </c>
      <c r="N207" s="248">
        <f t="shared" si="87"/>
        <v>0</v>
      </c>
      <c r="O207" s="248">
        <f t="shared" si="87"/>
        <v>0</v>
      </c>
    </row>
    <row r="208" s="223" customFormat="1" ht="16" customHeight="1" spans="1:15">
      <c r="A208" s="246" t="s">
        <v>565</v>
      </c>
      <c r="B208" s="266" t="s">
        <v>566</v>
      </c>
      <c r="C208" s="296"/>
      <c r="D208" s="296"/>
      <c r="E208" s="296"/>
      <c r="F208" s="248">
        <f>F209</f>
        <v>2800000</v>
      </c>
      <c r="G208" s="248"/>
      <c r="H208" s="248"/>
      <c r="I208" s="248">
        <f t="shared" ref="I208:O210" si="88">I209</f>
        <v>2152500</v>
      </c>
      <c r="J208" s="248"/>
      <c r="K208" s="276">
        <f t="shared" si="88"/>
        <v>0</v>
      </c>
      <c r="L208" s="277">
        <f t="shared" si="88"/>
        <v>2152500</v>
      </c>
      <c r="M208" s="277">
        <f t="shared" si="88"/>
        <v>0</v>
      </c>
      <c r="N208" s="277">
        <f t="shared" si="88"/>
        <v>0</v>
      </c>
      <c r="O208" s="277">
        <f t="shared" si="88"/>
        <v>0</v>
      </c>
    </row>
    <row r="209" ht="16.75" customHeight="1" spans="1:15">
      <c r="A209" s="246" t="s">
        <v>411</v>
      </c>
      <c r="B209" s="247" t="s">
        <v>412</v>
      </c>
      <c r="C209" s="270"/>
      <c r="D209" s="270"/>
      <c r="E209" s="270"/>
      <c r="F209" s="248">
        <f>F210</f>
        <v>2800000</v>
      </c>
      <c r="G209" s="248"/>
      <c r="H209" s="248"/>
      <c r="I209" s="248">
        <f t="shared" si="88"/>
        <v>2152500</v>
      </c>
      <c r="J209" s="248"/>
      <c r="K209" s="276">
        <f t="shared" si="88"/>
        <v>0</v>
      </c>
      <c r="L209" s="277">
        <f t="shared" si="88"/>
        <v>2152500</v>
      </c>
      <c r="M209" s="277">
        <f t="shared" si="88"/>
        <v>0</v>
      </c>
      <c r="N209" s="277">
        <f t="shared" si="88"/>
        <v>0</v>
      </c>
      <c r="O209" s="277">
        <f t="shared" si="88"/>
        <v>0</v>
      </c>
    </row>
    <row r="210" ht="15.25" customHeight="1" spans="1:15">
      <c r="A210" s="249" t="s">
        <v>431</v>
      </c>
      <c r="B210" s="247" t="s">
        <v>432</v>
      </c>
      <c r="C210" s="270"/>
      <c r="D210" s="270"/>
      <c r="E210" s="270"/>
      <c r="F210" s="250">
        <f>F211</f>
        <v>2800000</v>
      </c>
      <c r="G210" s="250"/>
      <c r="H210" s="250"/>
      <c r="I210" s="250">
        <f t="shared" si="88"/>
        <v>2152500</v>
      </c>
      <c r="J210" s="250"/>
      <c r="K210" s="278">
        <f t="shared" si="88"/>
        <v>0</v>
      </c>
      <c r="L210" s="279">
        <f t="shared" si="88"/>
        <v>2152500</v>
      </c>
      <c r="M210" s="279">
        <f t="shared" si="88"/>
        <v>0</v>
      </c>
      <c r="N210" s="279">
        <f t="shared" si="88"/>
        <v>0</v>
      </c>
      <c r="O210" s="279">
        <f t="shared" si="88"/>
        <v>0</v>
      </c>
    </row>
    <row r="211" ht="14.75" customHeight="1" spans="1:15">
      <c r="A211" s="251" t="s">
        <v>437</v>
      </c>
      <c r="B211" s="247" t="s">
        <v>567</v>
      </c>
      <c r="C211" s="270"/>
      <c r="D211" s="270"/>
      <c r="E211" s="270"/>
      <c r="F211" s="252">
        <v>2800000</v>
      </c>
      <c r="G211" s="252"/>
      <c r="H211" s="252"/>
      <c r="I211" s="275">
        <v>2152500</v>
      </c>
      <c r="J211" s="274">
        <v>0</v>
      </c>
      <c r="K211" s="280"/>
      <c r="L211" s="275">
        <v>2152500</v>
      </c>
      <c r="M211" s="272"/>
      <c r="N211" s="272"/>
      <c r="O211" s="272"/>
    </row>
    <row r="212" ht="16.5" customHeight="1" spans="1:18">
      <c r="A212" s="265">
        <v>2</v>
      </c>
      <c r="B212" s="266" t="s">
        <v>568</v>
      </c>
      <c r="C212" s="248"/>
      <c r="D212" s="244"/>
      <c r="E212" s="244"/>
      <c r="F212" s="248">
        <f>F213+F218+F260+F295</f>
        <v>1345055832</v>
      </c>
      <c r="G212" s="248">
        <f t="shared" ref="G212:O212" si="89">G213+G218+G260+G295</f>
        <v>0</v>
      </c>
      <c r="H212" s="248">
        <f t="shared" si="89"/>
        <v>0</v>
      </c>
      <c r="I212" s="248">
        <f t="shared" si="89"/>
        <v>720288500</v>
      </c>
      <c r="J212" s="248">
        <f t="shared" si="89"/>
        <v>1700</v>
      </c>
      <c r="K212" s="248">
        <f t="shared" si="89"/>
        <v>720288500</v>
      </c>
      <c r="L212" s="248">
        <f t="shared" si="89"/>
        <v>0</v>
      </c>
      <c r="M212" s="248">
        <f t="shared" si="89"/>
        <v>0</v>
      </c>
      <c r="N212" s="248">
        <f t="shared" si="89"/>
        <v>0</v>
      </c>
      <c r="O212" s="248">
        <f t="shared" si="89"/>
        <v>0</v>
      </c>
      <c r="R212" s="248"/>
    </row>
    <row r="213" ht="15.75" customHeight="1" spans="1:15">
      <c r="A213" s="246" t="s">
        <v>569</v>
      </c>
      <c r="B213" s="297" t="s">
        <v>570</v>
      </c>
      <c r="C213" s="314"/>
      <c r="D213" s="244"/>
      <c r="E213" s="244"/>
      <c r="F213" s="248">
        <f>F214</f>
        <v>3000000</v>
      </c>
      <c r="G213" s="248"/>
      <c r="H213" s="248"/>
      <c r="I213" s="248">
        <f t="shared" ref="I213:L216" si="90">I214</f>
        <v>3000000</v>
      </c>
      <c r="J213" s="248"/>
      <c r="K213" s="276">
        <f t="shared" si="90"/>
        <v>3000000</v>
      </c>
      <c r="L213" s="277">
        <f t="shared" si="90"/>
        <v>0</v>
      </c>
      <c r="M213" s="277">
        <f>M214</f>
        <v>0</v>
      </c>
      <c r="N213" s="277">
        <f t="shared" ref="N213:N216" si="91">N214</f>
        <v>0</v>
      </c>
      <c r="O213" s="277">
        <f>O214</f>
        <v>0</v>
      </c>
    </row>
    <row r="214" ht="16" customHeight="1" spans="1:15">
      <c r="A214" s="315" t="s">
        <v>571</v>
      </c>
      <c r="B214" s="247" t="s">
        <v>572</v>
      </c>
      <c r="C214" s="244"/>
      <c r="D214" s="244"/>
      <c r="E214" s="244"/>
      <c r="F214" s="248">
        <f>F215</f>
        <v>3000000</v>
      </c>
      <c r="G214" s="248"/>
      <c r="H214" s="248"/>
      <c r="I214" s="248">
        <f t="shared" si="90"/>
        <v>3000000</v>
      </c>
      <c r="J214" s="248"/>
      <c r="K214" s="276">
        <f t="shared" si="90"/>
        <v>3000000</v>
      </c>
      <c r="L214" s="277">
        <f t="shared" si="90"/>
        <v>0</v>
      </c>
      <c r="M214" s="277">
        <f t="shared" ref="M214:M216" si="92">M215</f>
        <v>0</v>
      </c>
      <c r="N214" s="277">
        <f t="shared" si="91"/>
        <v>0</v>
      </c>
      <c r="O214" s="277">
        <f t="shared" ref="O214:O216" si="93">O215</f>
        <v>0</v>
      </c>
    </row>
    <row r="215" ht="16.75" customHeight="1" spans="1:16">
      <c r="A215" s="246" t="s">
        <v>411</v>
      </c>
      <c r="B215" s="247" t="s">
        <v>573</v>
      </c>
      <c r="C215" s="244"/>
      <c r="D215" s="244"/>
      <c r="E215" s="244"/>
      <c r="F215" s="248">
        <f>F216</f>
        <v>3000000</v>
      </c>
      <c r="G215" s="248"/>
      <c r="H215" s="248"/>
      <c r="I215" s="248">
        <f t="shared" si="90"/>
        <v>3000000</v>
      </c>
      <c r="J215" s="248"/>
      <c r="K215" s="276">
        <f t="shared" si="90"/>
        <v>3000000</v>
      </c>
      <c r="L215" s="277">
        <f t="shared" si="90"/>
        <v>0</v>
      </c>
      <c r="M215" s="277">
        <f t="shared" si="92"/>
        <v>0</v>
      </c>
      <c r="N215" s="277">
        <f t="shared" si="91"/>
        <v>0</v>
      </c>
      <c r="O215" s="277">
        <f t="shared" si="93"/>
        <v>0</v>
      </c>
      <c r="P215" s="291"/>
    </row>
    <row r="216" ht="15.25" customHeight="1" spans="1:15">
      <c r="A216" s="249" t="s">
        <v>486</v>
      </c>
      <c r="B216" s="247" t="s">
        <v>574</v>
      </c>
      <c r="C216" s="244"/>
      <c r="D216" s="244"/>
      <c r="E216" s="244"/>
      <c r="F216" s="250">
        <f>F217</f>
        <v>3000000</v>
      </c>
      <c r="G216" s="250"/>
      <c r="H216" s="250"/>
      <c r="I216" s="250">
        <f t="shared" si="90"/>
        <v>3000000</v>
      </c>
      <c r="J216" s="250"/>
      <c r="K216" s="278">
        <f t="shared" si="90"/>
        <v>3000000</v>
      </c>
      <c r="L216" s="279">
        <f t="shared" si="90"/>
        <v>0</v>
      </c>
      <c r="M216" s="279">
        <f t="shared" si="92"/>
        <v>0</v>
      </c>
      <c r="N216" s="279">
        <f t="shared" si="91"/>
        <v>0</v>
      </c>
      <c r="O216" s="279">
        <f t="shared" si="93"/>
        <v>0</v>
      </c>
    </row>
    <row r="217" ht="15.5" customHeight="1" spans="1:15">
      <c r="A217" s="251" t="s">
        <v>429</v>
      </c>
      <c r="B217" s="247" t="s">
        <v>424</v>
      </c>
      <c r="C217" s="244"/>
      <c r="D217" s="244"/>
      <c r="E217" s="244"/>
      <c r="F217" s="252">
        <v>3000000</v>
      </c>
      <c r="G217" s="252"/>
      <c r="H217" s="252"/>
      <c r="I217" s="275">
        <v>3000000</v>
      </c>
      <c r="J217" s="274">
        <v>0</v>
      </c>
      <c r="K217" s="275">
        <v>3000000</v>
      </c>
      <c r="L217" s="272"/>
      <c r="M217" s="272"/>
      <c r="N217" s="272"/>
      <c r="O217" s="272"/>
    </row>
    <row r="218" ht="15" customHeight="1" spans="1:15">
      <c r="A218" s="246" t="s">
        <v>575</v>
      </c>
      <c r="B218" s="297" t="s">
        <v>576</v>
      </c>
      <c r="C218" s="248"/>
      <c r="D218" s="244"/>
      <c r="E218" s="244"/>
      <c r="F218" s="248">
        <f>F219+F235+F247+F243+F223+F251</f>
        <v>83922100</v>
      </c>
      <c r="G218" s="248">
        <f t="shared" ref="G218:O218" si="94">G219+G235+G247+G243+G223+G251</f>
        <v>0</v>
      </c>
      <c r="H218" s="248">
        <f t="shared" si="94"/>
        <v>0</v>
      </c>
      <c r="I218" s="248">
        <f t="shared" si="94"/>
        <v>83901500</v>
      </c>
      <c r="J218" s="248">
        <f t="shared" si="94"/>
        <v>500</v>
      </c>
      <c r="K218" s="248">
        <f t="shared" si="94"/>
        <v>83901500</v>
      </c>
      <c r="L218" s="248">
        <f t="shared" si="94"/>
        <v>0</v>
      </c>
      <c r="M218" s="248">
        <f t="shared" si="94"/>
        <v>0</v>
      </c>
      <c r="N218" s="248">
        <f t="shared" si="94"/>
        <v>0</v>
      </c>
      <c r="O218" s="248">
        <f t="shared" si="94"/>
        <v>0</v>
      </c>
    </row>
    <row r="219" ht="16" customHeight="1" spans="1:15">
      <c r="A219" s="246" t="s">
        <v>577</v>
      </c>
      <c r="B219" s="266" t="s">
        <v>578</v>
      </c>
      <c r="C219" s="244"/>
      <c r="D219" s="244"/>
      <c r="E219" s="244"/>
      <c r="F219" s="248">
        <f>F220</f>
        <v>6320000</v>
      </c>
      <c r="G219" s="248">
        <f t="shared" ref="G219:O219" si="95">G220</f>
        <v>0</v>
      </c>
      <c r="H219" s="248">
        <f t="shared" si="95"/>
        <v>0</v>
      </c>
      <c r="I219" s="248">
        <f t="shared" si="95"/>
        <v>6320000</v>
      </c>
      <c r="J219" s="248">
        <f t="shared" si="95"/>
        <v>100</v>
      </c>
      <c r="K219" s="248">
        <f t="shared" si="95"/>
        <v>6320000</v>
      </c>
      <c r="L219" s="248">
        <f t="shared" si="95"/>
        <v>0</v>
      </c>
      <c r="M219" s="248">
        <f t="shared" si="95"/>
        <v>0</v>
      </c>
      <c r="N219" s="248">
        <f t="shared" si="95"/>
        <v>0</v>
      </c>
      <c r="O219" s="248">
        <f t="shared" si="95"/>
        <v>0</v>
      </c>
    </row>
    <row r="220" ht="16.75" customHeight="1" spans="1:15">
      <c r="A220" s="246" t="s">
        <v>411</v>
      </c>
      <c r="B220" s="266" t="s">
        <v>573</v>
      </c>
      <c r="C220" s="244"/>
      <c r="D220" s="244"/>
      <c r="E220" s="244"/>
      <c r="F220" s="248">
        <f>F221</f>
        <v>6320000</v>
      </c>
      <c r="G220" s="248">
        <f t="shared" ref="G220:O220" si="96">G221</f>
        <v>0</v>
      </c>
      <c r="H220" s="248">
        <f t="shared" si="96"/>
        <v>0</v>
      </c>
      <c r="I220" s="248">
        <f t="shared" si="96"/>
        <v>6320000</v>
      </c>
      <c r="J220" s="248">
        <f t="shared" si="96"/>
        <v>100</v>
      </c>
      <c r="K220" s="248">
        <f t="shared" si="96"/>
        <v>6320000</v>
      </c>
      <c r="L220" s="248">
        <f t="shared" si="96"/>
        <v>0</v>
      </c>
      <c r="M220" s="248">
        <f t="shared" si="96"/>
        <v>0</v>
      </c>
      <c r="N220" s="248">
        <f t="shared" si="96"/>
        <v>0</v>
      </c>
      <c r="O220" s="248">
        <f t="shared" si="96"/>
        <v>0</v>
      </c>
    </row>
    <row r="221" ht="15.5" customHeight="1" spans="1:15">
      <c r="A221" s="249" t="s">
        <v>579</v>
      </c>
      <c r="B221" s="266" t="s">
        <v>580</v>
      </c>
      <c r="C221" s="244"/>
      <c r="D221" s="244"/>
      <c r="E221" s="244"/>
      <c r="F221" s="250">
        <f>F222</f>
        <v>6320000</v>
      </c>
      <c r="G221" s="250">
        <f t="shared" ref="G221:O221" si="97">G222</f>
        <v>0</v>
      </c>
      <c r="H221" s="250">
        <f t="shared" si="97"/>
        <v>0</v>
      </c>
      <c r="I221" s="250">
        <f t="shared" si="97"/>
        <v>6320000</v>
      </c>
      <c r="J221" s="250">
        <f t="shared" si="97"/>
        <v>100</v>
      </c>
      <c r="K221" s="250">
        <f t="shared" si="97"/>
        <v>6320000</v>
      </c>
      <c r="L221" s="250">
        <f t="shared" si="97"/>
        <v>0</v>
      </c>
      <c r="M221" s="250">
        <f t="shared" si="97"/>
        <v>0</v>
      </c>
      <c r="N221" s="250">
        <f t="shared" si="97"/>
        <v>0</v>
      </c>
      <c r="O221" s="250">
        <f t="shared" si="97"/>
        <v>0</v>
      </c>
    </row>
    <row r="222" customHeight="1" spans="1:15">
      <c r="A222" s="251" t="s">
        <v>581</v>
      </c>
      <c r="B222" s="247" t="s">
        <v>582</v>
      </c>
      <c r="C222" s="244"/>
      <c r="D222" s="244"/>
      <c r="E222" s="244"/>
      <c r="F222" s="252">
        <v>6320000</v>
      </c>
      <c r="G222" s="252"/>
      <c r="H222" s="252"/>
      <c r="I222" s="252">
        <v>6320000</v>
      </c>
      <c r="J222" s="274">
        <v>100</v>
      </c>
      <c r="K222" s="252">
        <v>6320000</v>
      </c>
      <c r="L222" s="272"/>
      <c r="M222" s="272"/>
      <c r="N222" s="272"/>
      <c r="O222" s="272"/>
    </row>
    <row r="223" s="223" customFormat="1" ht="15.25" customHeight="1" spans="1:15">
      <c r="A223" s="246" t="s">
        <v>583</v>
      </c>
      <c r="B223" s="266" t="s">
        <v>584</v>
      </c>
      <c r="C223" s="316"/>
      <c r="D223" s="316"/>
      <c r="E223" s="316"/>
      <c r="F223" s="248">
        <f>F224</f>
        <v>14618100</v>
      </c>
      <c r="G223" s="248">
        <f t="shared" ref="G223:O223" si="98">G224</f>
        <v>0</v>
      </c>
      <c r="H223" s="248">
        <f t="shared" si="98"/>
        <v>0</v>
      </c>
      <c r="I223" s="248">
        <f t="shared" si="98"/>
        <v>14598000</v>
      </c>
      <c r="J223" s="248">
        <f t="shared" si="98"/>
        <v>0</v>
      </c>
      <c r="K223" s="248">
        <f t="shared" si="98"/>
        <v>14598000</v>
      </c>
      <c r="L223" s="248">
        <f t="shared" si="98"/>
        <v>0</v>
      </c>
      <c r="M223" s="248">
        <f t="shared" si="98"/>
        <v>0</v>
      </c>
      <c r="N223" s="248">
        <f t="shared" si="98"/>
        <v>0</v>
      </c>
      <c r="O223" s="248">
        <f t="shared" si="98"/>
        <v>0</v>
      </c>
    </row>
    <row r="224" s="223" customFormat="1" ht="15.25" customHeight="1" spans="1:15">
      <c r="A224" s="246" t="s">
        <v>485</v>
      </c>
      <c r="B224" s="266" t="s">
        <v>412</v>
      </c>
      <c r="C224" s="316"/>
      <c r="D224" s="316"/>
      <c r="E224" s="316"/>
      <c r="F224" s="248">
        <f>F225+F230</f>
        <v>14618100</v>
      </c>
      <c r="G224" s="248">
        <f t="shared" ref="G224:O224" si="99">G225+G230</f>
        <v>0</v>
      </c>
      <c r="H224" s="248">
        <f t="shared" si="99"/>
        <v>0</v>
      </c>
      <c r="I224" s="248">
        <f t="shared" si="99"/>
        <v>14598000</v>
      </c>
      <c r="J224" s="248">
        <f t="shared" si="99"/>
        <v>0</v>
      </c>
      <c r="K224" s="248">
        <f t="shared" si="99"/>
        <v>14598000</v>
      </c>
      <c r="L224" s="248">
        <f t="shared" si="99"/>
        <v>0</v>
      </c>
      <c r="M224" s="248">
        <f t="shared" si="99"/>
        <v>0</v>
      </c>
      <c r="N224" s="248">
        <f t="shared" si="99"/>
        <v>0</v>
      </c>
      <c r="O224" s="248">
        <f t="shared" si="99"/>
        <v>0</v>
      </c>
    </row>
    <row r="225" s="223" customFormat="1" ht="15.25" customHeight="1" spans="1:15">
      <c r="A225" s="246" t="s">
        <v>486</v>
      </c>
      <c r="B225" s="266" t="s">
        <v>452</v>
      </c>
      <c r="C225" s="316"/>
      <c r="D225" s="316"/>
      <c r="E225" s="316"/>
      <c r="F225" s="248">
        <f>SUM(F226:F229)</f>
        <v>8468100</v>
      </c>
      <c r="G225" s="248">
        <f t="shared" ref="G225:O225" si="100">SUM(G226:G229)</f>
        <v>0</v>
      </c>
      <c r="H225" s="248">
        <f t="shared" si="100"/>
        <v>0</v>
      </c>
      <c r="I225" s="248">
        <f t="shared" si="100"/>
        <v>8448000</v>
      </c>
      <c r="J225" s="248">
        <f t="shared" si="100"/>
        <v>0</v>
      </c>
      <c r="K225" s="248">
        <f t="shared" si="100"/>
        <v>8448000</v>
      </c>
      <c r="L225" s="248">
        <f t="shared" si="100"/>
        <v>0</v>
      </c>
      <c r="M225" s="248">
        <f t="shared" si="100"/>
        <v>0</v>
      </c>
      <c r="N225" s="248">
        <f t="shared" si="100"/>
        <v>0</v>
      </c>
      <c r="O225" s="248">
        <f t="shared" si="100"/>
        <v>0</v>
      </c>
    </row>
    <row r="226" ht="15.25" customHeight="1" spans="1:15">
      <c r="A226" s="246" t="s">
        <v>534</v>
      </c>
      <c r="B226" s="247" t="s">
        <v>535</v>
      </c>
      <c r="C226" s="244"/>
      <c r="D226" s="244"/>
      <c r="E226" s="244"/>
      <c r="F226" s="252">
        <v>50000</v>
      </c>
      <c r="G226" s="248"/>
      <c r="H226" s="248"/>
      <c r="I226" s="252">
        <v>50000</v>
      </c>
      <c r="J226" s="248"/>
      <c r="K226" s="252">
        <v>50000</v>
      </c>
      <c r="L226" s="277"/>
      <c r="M226" s="277"/>
      <c r="N226" s="277"/>
      <c r="O226" s="277"/>
    </row>
    <row r="227" ht="15.25" customHeight="1" spans="1:15">
      <c r="A227" s="246" t="s">
        <v>536</v>
      </c>
      <c r="B227" s="247" t="s">
        <v>537</v>
      </c>
      <c r="C227" s="244"/>
      <c r="D227" s="244"/>
      <c r="E227" s="244"/>
      <c r="F227" s="252">
        <v>1418100</v>
      </c>
      <c r="G227" s="248"/>
      <c r="H227" s="248"/>
      <c r="I227" s="252">
        <v>1398000</v>
      </c>
      <c r="J227" s="248"/>
      <c r="K227" s="252">
        <v>1398000</v>
      </c>
      <c r="L227" s="277"/>
      <c r="M227" s="277"/>
      <c r="N227" s="277"/>
      <c r="O227" s="277"/>
    </row>
    <row r="228" ht="15.25" customHeight="1" spans="1:15">
      <c r="A228" s="246" t="s">
        <v>538</v>
      </c>
      <c r="B228" s="247" t="s">
        <v>539</v>
      </c>
      <c r="C228" s="244"/>
      <c r="D228" s="244"/>
      <c r="E228" s="244"/>
      <c r="F228" s="252">
        <v>6000000</v>
      </c>
      <c r="G228" s="248"/>
      <c r="H228" s="248"/>
      <c r="I228" s="252">
        <v>6000000</v>
      </c>
      <c r="J228" s="248"/>
      <c r="K228" s="252">
        <v>6000000</v>
      </c>
      <c r="L228" s="277"/>
      <c r="M228" s="277"/>
      <c r="N228" s="277"/>
      <c r="O228" s="277"/>
    </row>
    <row r="229" ht="15.25" customHeight="1" spans="1:15">
      <c r="A229" s="246" t="s">
        <v>423</v>
      </c>
      <c r="B229" s="247" t="s">
        <v>488</v>
      </c>
      <c r="C229" s="244"/>
      <c r="D229" s="244"/>
      <c r="E229" s="244"/>
      <c r="F229" s="252">
        <v>1000000</v>
      </c>
      <c r="G229" s="248"/>
      <c r="H229" s="248"/>
      <c r="I229" s="252">
        <v>1000000</v>
      </c>
      <c r="J229" s="248"/>
      <c r="K229" s="252">
        <v>1000000</v>
      </c>
      <c r="L229" s="277"/>
      <c r="M229" s="277"/>
      <c r="N229" s="277"/>
      <c r="O229" s="277"/>
    </row>
    <row r="230" s="223" customFormat="1" ht="15.25" customHeight="1" spans="1:15">
      <c r="A230" s="246" t="s">
        <v>585</v>
      </c>
      <c r="B230" s="266" t="s">
        <v>426</v>
      </c>
      <c r="C230" s="316"/>
      <c r="D230" s="316"/>
      <c r="E230" s="316"/>
      <c r="F230" s="248">
        <f>SUM(F231:F233)</f>
        <v>6150000</v>
      </c>
      <c r="G230" s="248">
        <f t="shared" ref="G230:O230" si="101">SUM(G231:G233)</f>
        <v>0</v>
      </c>
      <c r="H230" s="248">
        <f t="shared" si="101"/>
        <v>0</v>
      </c>
      <c r="I230" s="248">
        <f t="shared" si="101"/>
        <v>6150000</v>
      </c>
      <c r="J230" s="248">
        <f t="shared" si="101"/>
        <v>0</v>
      </c>
      <c r="K230" s="248">
        <f t="shared" si="101"/>
        <v>6150000</v>
      </c>
      <c r="L230" s="248">
        <f t="shared" si="101"/>
        <v>0</v>
      </c>
      <c r="M230" s="248">
        <f t="shared" si="101"/>
        <v>0</v>
      </c>
      <c r="N230" s="248">
        <f t="shared" si="101"/>
        <v>0</v>
      </c>
      <c r="O230" s="248">
        <f t="shared" si="101"/>
        <v>0</v>
      </c>
    </row>
    <row r="231" ht="15.25" customHeight="1" spans="1:15">
      <c r="A231" s="246" t="s">
        <v>543</v>
      </c>
      <c r="B231" s="247" t="s">
        <v>544</v>
      </c>
      <c r="C231" s="244"/>
      <c r="D231" s="244"/>
      <c r="E231" s="244"/>
      <c r="F231" s="252">
        <v>600000</v>
      </c>
      <c r="G231" s="248"/>
      <c r="H231" s="248"/>
      <c r="I231" s="252">
        <v>600000</v>
      </c>
      <c r="J231" s="248"/>
      <c r="K231" s="252">
        <v>600000</v>
      </c>
      <c r="L231" s="277"/>
      <c r="M231" s="277"/>
      <c r="N231" s="277"/>
      <c r="O231" s="277"/>
    </row>
    <row r="232" ht="15.25" customHeight="1" spans="1:15">
      <c r="A232" s="246" t="s">
        <v>586</v>
      </c>
      <c r="B232" s="247" t="s">
        <v>555</v>
      </c>
      <c r="C232" s="244"/>
      <c r="D232" s="244"/>
      <c r="E232" s="244"/>
      <c r="F232" s="252">
        <v>3600000</v>
      </c>
      <c r="G232" s="248"/>
      <c r="H232" s="248"/>
      <c r="I232" s="252">
        <v>3600000</v>
      </c>
      <c r="J232" s="248"/>
      <c r="K232" s="252">
        <v>3600000</v>
      </c>
      <c r="L232" s="277"/>
      <c r="M232" s="277"/>
      <c r="N232" s="277"/>
      <c r="O232" s="277"/>
    </row>
    <row r="233" ht="15.25" customHeight="1" spans="1:15">
      <c r="A233" s="246" t="s">
        <v>587</v>
      </c>
      <c r="B233" s="247" t="s">
        <v>454</v>
      </c>
      <c r="C233" s="244"/>
      <c r="D233" s="244"/>
      <c r="E233" s="244"/>
      <c r="F233" s="252">
        <v>1950000</v>
      </c>
      <c r="G233" s="248"/>
      <c r="H233" s="248"/>
      <c r="I233" s="252">
        <v>1950000</v>
      </c>
      <c r="J233" s="248"/>
      <c r="K233" s="252">
        <v>1950000</v>
      </c>
      <c r="L233" s="277"/>
      <c r="M233" s="277"/>
      <c r="N233" s="277"/>
      <c r="O233" s="277"/>
    </row>
    <row r="234" ht="15.25" customHeight="1" spans="1:15">
      <c r="A234" s="246"/>
      <c r="B234" s="247"/>
      <c r="C234" s="244"/>
      <c r="D234" s="244"/>
      <c r="E234" s="244"/>
      <c r="F234" s="248"/>
      <c r="G234" s="248"/>
      <c r="H234" s="248"/>
      <c r="I234" s="248"/>
      <c r="J234" s="248"/>
      <c r="K234" s="276"/>
      <c r="L234" s="277"/>
      <c r="M234" s="277"/>
      <c r="N234" s="277"/>
      <c r="O234" s="277"/>
    </row>
    <row r="235" s="223" customFormat="1" ht="15.25" customHeight="1" spans="1:15">
      <c r="A235" s="246" t="s">
        <v>588</v>
      </c>
      <c r="B235" s="266" t="s">
        <v>589</v>
      </c>
      <c r="C235" s="316"/>
      <c r="D235" s="316"/>
      <c r="E235" s="316"/>
      <c r="F235" s="248">
        <f>F236</f>
        <v>2790500</v>
      </c>
      <c r="G235" s="248">
        <f t="shared" ref="G235:O235" si="102">G236</f>
        <v>0</v>
      </c>
      <c r="H235" s="248">
        <f t="shared" si="102"/>
        <v>0</v>
      </c>
      <c r="I235" s="248">
        <f t="shared" si="102"/>
        <v>2790000</v>
      </c>
      <c r="J235" s="248">
        <f t="shared" si="102"/>
        <v>400</v>
      </c>
      <c r="K235" s="248">
        <f t="shared" si="102"/>
        <v>2790000</v>
      </c>
      <c r="L235" s="248">
        <f t="shared" si="102"/>
        <v>0</v>
      </c>
      <c r="M235" s="248">
        <f t="shared" si="102"/>
        <v>0</v>
      </c>
      <c r="N235" s="248">
        <f t="shared" si="102"/>
        <v>0</v>
      </c>
      <c r="O235" s="248">
        <f t="shared" si="102"/>
        <v>0</v>
      </c>
    </row>
    <row r="236" s="223" customFormat="1" ht="16.75" customHeight="1" spans="1:15">
      <c r="A236" s="246" t="s">
        <v>525</v>
      </c>
      <c r="B236" s="266" t="s">
        <v>412</v>
      </c>
      <c r="C236" s="316"/>
      <c r="D236" s="316"/>
      <c r="E236" s="316"/>
      <c r="F236" s="248">
        <f>F237+F241</f>
        <v>2790500</v>
      </c>
      <c r="G236" s="248">
        <f t="shared" ref="G236:O236" si="103">G237+G241</f>
        <v>0</v>
      </c>
      <c r="H236" s="248">
        <f t="shared" si="103"/>
        <v>0</v>
      </c>
      <c r="I236" s="248">
        <f t="shared" si="103"/>
        <v>2790000</v>
      </c>
      <c r="J236" s="248">
        <f t="shared" si="103"/>
        <v>400</v>
      </c>
      <c r="K236" s="248">
        <f t="shared" si="103"/>
        <v>2790000</v>
      </c>
      <c r="L236" s="248">
        <f t="shared" si="103"/>
        <v>0</v>
      </c>
      <c r="M236" s="248">
        <f t="shared" si="103"/>
        <v>0</v>
      </c>
      <c r="N236" s="248">
        <f t="shared" si="103"/>
        <v>0</v>
      </c>
      <c r="O236" s="248">
        <f t="shared" si="103"/>
        <v>0</v>
      </c>
    </row>
    <row r="237" s="223" customFormat="1" ht="15.25" customHeight="1" spans="1:15">
      <c r="A237" s="249" t="s">
        <v>526</v>
      </c>
      <c r="B237" s="266" t="s">
        <v>452</v>
      </c>
      <c r="C237" s="316"/>
      <c r="D237" s="316"/>
      <c r="E237" s="316"/>
      <c r="F237" s="250">
        <f>SUM(F238:F240)</f>
        <v>1790500</v>
      </c>
      <c r="G237" s="250">
        <f t="shared" ref="G237:O237" si="104">SUM(G238:G240)</f>
        <v>0</v>
      </c>
      <c r="H237" s="250">
        <f t="shared" si="104"/>
        <v>0</v>
      </c>
      <c r="I237" s="250">
        <f t="shared" si="104"/>
        <v>1790000</v>
      </c>
      <c r="J237" s="250">
        <f t="shared" si="104"/>
        <v>300</v>
      </c>
      <c r="K237" s="250">
        <f t="shared" si="104"/>
        <v>1790000</v>
      </c>
      <c r="L237" s="250">
        <f t="shared" si="104"/>
        <v>0</v>
      </c>
      <c r="M237" s="250">
        <f t="shared" si="104"/>
        <v>0</v>
      </c>
      <c r="N237" s="250">
        <f t="shared" si="104"/>
        <v>0</v>
      </c>
      <c r="O237" s="250">
        <f t="shared" si="104"/>
        <v>0</v>
      </c>
    </row>
    <row r="238" ht="15.75" customHeight="1" spans="1:15">
      <c r="A238" s="251" t="s">
        <v>415</v>
      </c>
      <c r="B238" s="247" t="s">
        <v>416</v>
      </c>
      <c r="C238" s="244"/>
      <c r="D238" s="244"/>
      <c r="E238" s="244"/>
      <c r="F238" s="252">
        <v>100000</v>
      </c>
      <c r="G238" s="252"/>
      <c r="H238" s="252"/>
      <c r="I238" s="252">
        <v>100000</v>
      </c>
      <c r="J238" s="274">
        <v>100</v>
      </c>
      <c r="K238" s="252">
        <v>100000</v>
      </c>
      <c r="L238" s="272"/>
      <c r="M238" s="272"/>
      <c r="N238" s="272"/>
      <c r="O238" s="272"/>
    </row>
    <row r="239" ht="15.75" customHeight="1" spans="1:15">
      <c r="A239" s="251" t="s">
        <v>419</v>
      </c>
      <c r="B239" s="247" t="s">
        <v>420</v>
      </c>
      <c r="C239" s="244"/>
      <c r="D239" s="244"/>
      <c r="E239" s="244"/>
      <c r="F239" s="252">
        <v>290500</v>
      </c>
      <c r="G239" s="252"/>
      <c r="H239" s="252"/>
      <c r="I239" s="252">
        <v>290000</v>
      </c>
      <c r="J239" s="274">
        <v>100</v>
      </c>
      <c r="K239" s="252">
        <v>290000</v>
      </c>
      <c r="L239" s="272"/>
      <c r="M239" s="272"/>
      <c r="N239" s="272"/>
      <c r="O239" s="272"/>
    </row>
    <row r="240" ht="15.75" customHeight="1" spans="1:15">
      <c r="A240" s="251" t="s">
        <v>421</v>
      </c>
      <c r="B240" s="247" t="s">
        <v>422</v>
      </c>
      <c r="C240" s="244"/>
      <c r="D240" s="244"/>
      <c r="E240" s="244"/>
      <c r="F240" s="252">
        <v>1400000</v>
      </c>
      <c r="G240" s="252"/>
      <c r="H240" s="252"/>
      <c r="I240" s="252">
        <v>1400000</v>
      </c>
      <c r="J240" s="274">
        <v>100</v>
      </c>
      <c r="K240" s="252">
        <v>1400000</v>
      </c>
      <c r="L240" s="272"/>
      <c r="M240" s="272"/>
      <c r="N240" s="272"/>
      <c r="O240" s="272"/>
    </row>
    <row r="241" s="223" customFormat="1" ht="15.75" customHeight="1" spans="1:15">
      <c r="A241" s="249" t="s">
        <v>554</v>
      </c>
      <c r="B241" s="266" t="s">
        <v>453</v>
      </c>
      <c r="C241" s="316"/>
      <c r="D241" s="316"/>
      <c r="E241" s="316"/>
      <c r="F241" s="250">
        <f>SUM(F242:F242)</f>
        <v>1000000</v>
      </c>
      <c r="G241" s="250">
        <f t="shared" ref="G241:O241" si="105">SUM(G242:G242)</f>
        <v>0</v>
      </c>
      <c r="H241" s="250">
        <f t="shared" si="105"/>
        <v>0</v>
      </c>
      <c r="I241" s="250">
        <f t="shared" si="105"/>
        <v>1000000</v>
      </c>
      <c r="J241" s="250">
        <f t="shared" si="105"/>
        <v>100</v>
      </c>
      <c r="K241" s="250">
        <f t="shared" si="105"/>
        <v>1000000</v>
      </c>
      <c r="L241" s="250">
        <f t="shared" si="105"/>
        <v>0</v>
      </c>
      <c r="M241" s="250">
        <f t="shared" si="105"/>
        <v>0</v>
      </c>
      <c r="N241" s="250">
        <f t="shared" si="105"/>
        <v>0</v>
      </c>
      <c r="O241" s="250">
        <f t="shared" si="105"/>
        <v>0</v>
      </c>
    </row>
    <row r="242" ht="15.75" customHeight="1" spans="1:15">
      <c r="A242" s="251" t="s">
        <v>513</v>
      </c>
      <c r="B242" s="247" t="s">
        <v>514</v>
      </c>
      <c r="C242" s="244"/>
      <c r="D242" s="244"/>
      <c r="E242" s="244"/>
      <c r="F242" s="252">
        <v>1000000</v>
      </c>
      <c r="G242" s="252"/>
      <c r="H242" s="252"/>
      <c r="I242" s="252">
        <v>1000000</v>
      </c>
      <c r="J242" s="274">
        <v>100</v>
      </c>
      <c r="K242" s="252">
        <v>1000000</v>
      </c>
      <c r="L242" s="272"/>
      <c r="M242" s="272"/>
      <c r="N242" s="272"/>
      <c r="O242" s="272"/>
    </row>
    <row r="243" s="223" customFormat="1" ht="15.25" customHeight="1" spans="1:15">
      <c r="A243" s="246" t="s">
        <v>590</v>
      </c>
      <c r="B243" s="266" t="s">
        <v>591</v>
      </c>
      <c r="C243" s="296"/>
      <c r="D243" s="296"/>
      <c r="E243" s="296"/>
      <c r="F243" s="248">
        <f>F244</f>
        <v>3000000</v>
      </c>
      <c r="G243" s="248">
        <f t="shared" ref="G243:O243" si="106">G244</f>
        <v>0</v>
      </c>
      <c r="H243" s="248">
        <f t="shared" si="106"/>
        <v>0</v>
      </c>
      <c r="I243" s="248">
        <f t="shared" si="106"/>
        <v>3000000</v>
      </c>
      <c r="J243" s="248">
        <f t="shared" si="106"/>
        <v>0</v>
      </c>
      <c r="K243" s="248">
        <f t="shared" si="106"/>
        <v>3000000</v>
      </c>
      <c r="L243" s="248">
        <f t="shared" si="106"/>
        <v>0</v>
      </c>
      <c r="M243" s="248">
        <f t="shared" si="106"/>
        <v>0</v>
      </c>
      <c r="N243" s="248">
        <f t="shared" si="106"/>
        <v>0</v>
      </c>
      <c r="O243" s="248">
        <f t="shared" si="106"/>
        <v>0</v>
      </c>
    </row>
    <row r="244" s="223" customFormat="1" ht="16.75" customHeight="1" spans="1:15">
      <c r="A244" s="246" t="s">
        <v>525</v>
      </c>
      <c r="B244" s="266" t="s">
        <v>412</v>
      </c>
      <c r="C244" s="296"/>
      <c r="D244" s="296"/>
      <c r="E244" s="296"/>
      <c r="F244" s="248">
        <f>F245</f>
        <v>3000000</v>
      </c>
      <c r="G244" s="248"/>
      <c r="H244" s="248"/>
      <c r="I244" s="248">
        <f t="shared" ref="I243:O245" si="107">I245</f>
        <v>3000000</v>
      </c>
      <c r="J244" s="248"/>
      <c r="K244" s="276">
        <f t="shared" si="107"/>
        <v>3000000</v>
      </c>
      <c r="L244" s="277">
        <f t="shared" si="107"/>
        <v>0</v>
      </c>
      <c r="M244" s="277">
        <f t="shared" si="107"/>
        <v>0</v>
      </c>
      <c r="N244" s="277">
        <f t="shared" si="107"/>
        <v>0</v>
      </c>
      <c r="O244" s="277">
        <f t="shared" si="107"/>
        <v>0</v>
      </c>
    </row>
    <row r="245" s="223" customFormat="1" ht="15.25" customHeight="1" spans="1:15">
      <c r="A245" s="249" t="s">
        <v>592</v>
      </c>
      <c r="B245" s="266" t="s">
        <v>593</v>
      </c>
      <c r="C245" s="296"/>
      <c r="D245" s="296"/>
      <c r="E245" s="296"/>
      <c r="F245" s="250">
        <f>F246</f>
        <v>3000000</v>
      </c>
      <c r="G245" s="250"/>
      <c r="H245" s="250"/>
      <c r="I245" s="250">
        <f t="shared" si="107"/>
        <v>3000000</v>
      </c>
      <c r="J245" s="250"/>
      <c r="K245" s="278">
        <f t="shared" si="107"/>
        <v>3000000</v>
      </c>
      <c r="L245" s="279">
        <f t="shared" si="107"/>
        <v>0</v>
      </c>
      <c r="M245" s="279">
        <f t="shared" si="107"/>
        <v>0</v>
      </c>
      <c r="N245" s="279">
        <f t="shared" si="107"/>
        <v>0</v>
      </c>
      <c r="O245" s="279">
        <f t="shared" si="107"/>
        <v>0</v>
      </c>
    </row>
    <row r="246" customHeight="1" spans="1:15">
      <c r="A246" s="251" t="s">
        <v>581</v>
      </c>
      <c r="B246" s="247" t="s">
        <v>594</v>
      </c>
      <c r="C246" s="270"/>
      <c r="D246" s="270"/>
      <c r="E246" s="270"/>
      <c r="F246" s="252">
        <v>3000000</v>
      </c>
      <c r="G246" s="252"/>
      <c r="H246" s="252"/>
      <c r="I246" s="252">
        <v>3000000</v>
      </c>
      <c r="J246" s="274">
        <v>100</v>
      </c>
      <c r="K246" s="252">
        <v>3000000</v>
      </c>
      <c r="L246" s="272"/>
      <c r="M246" s="272"/>
      <c r="N246" s="272"/>
      <c r="O246" s="272"/>
    </row>
    <row r="247" s="223" customFormat="1" ht="15.25" customHeight="1" spans="1:15">
      <c r="A247" s="246" t="s">
        <v>595</v>
      </c>
      <c r="B247" s="266" t="s">
        <v>596</v>
      </c>
      <c r="C247" s="296"/>
      <c r="D247" s="296"/>
      <c r="E247" s="296"/>
      <c r="F247" s="248">
        <f>F248</f>
        <v>54000000</v>
      </c>
      <c r="G247" s="248"/>
      <c r="H247" s="248"/>
      <c r="I247" s="248">
        <f t="shared" ref="I247:O249" si="108">I248</f>
        <v>54000000</v>
      </c>
      <c r="J247" s="248"/>
      <c r="K247" s="276">
        <f t="shared" si="108"/>
        <v>54000000</v>
      </c>
      <c r="L247" s="277">
        <f t="shared" si="108"/>
        <v>0</v>
      </c>
      <c r="M247" s="277">
        <f t="shared" si="108"/>
        <v>0</v>
      </c>
      <c r="N247" s="277">
        <f t="shared" si="108"/>
        <v>0</v>
      </c>
      <c r="O247" s="277">
        <f t="shared" si="108"/>
        <v>0</v>
      </c>
    </row>
    <row r="248" s="223" customFormat="1" ht="17" customHeight="1" spans="1:15">
      <c r="A248" s="246" t="s">
        <v>525</v>
      </c>
      <c r="B248" s="266" t="s">
        <v>412</v>
      </c>
      <c r="C248" s="296"/>
      <c r="D248" s="296"/>
      <c r="E248" s="296"/>
      <c r="F248" s="248">
        <f>F249</f>
        <v>54000000</v>
      </c>
      <c r="G248" s="248"/>
      <c r="H248" s="248"/>
      <c r="I248" s="248">
        <f t="shared" si="108"/>
        <v>54000000</v>
      </c>
      <c r="J248" s="248"/>
      <c r="K248" s="276">
        <f t="shared" si="108"/>
        <v>54000000</v>
      </c>
      <c r="L248" s="277">
        <f t="shared" si="108"/>
        <v>0</v>
      </c>
      <c r="M248" s="277">
        <f t="shared" si="108"/>
        <v>0</v>
      </c>
      <c r="N248" s="277">
        <f t="shared" si="108"/>
        <v>0</v>
      </c>
      <c r="O248" s="277">
        <f t="shared" si="108"/>
        <v>0</v>
      </c>
    </row>
    <row r="249" s="223" customFormat="1" ht="15.25" customHeight="1" spans="1:15">
      <c r="A249" s="249" t="s">
        <v>554</v>
      </c>
      <c r="B249" s="266" t="s">
        <v>453</v>
      </c>
      <c r="C249" s="296"/>
      <c r="D249" s="296"/>
      <c r="E249" s="296"/>
      <c r="F249" s="250">
        <f>F250</f>
        <v>54000000</v>
      </c>
      <c r="G249" s="250"/>
      <c r="H249" s="250"/>
      <c r="I249" s="250">
        <f t="shared" si="108"/>
        <v>54000000</v>
      </c>
      <c r="J249" s="250"/>
      <c r="K249" s="278">
        <f t="shared" si="108"/>
        <v>54000000</v>
      </c>
      <c r="L249" s="279">
        <f t="shared" si="108"/>
        <v>0</v>
      </c>
      <c r="M249" s="279">
        <f t="shared" si="108"/>
        <v>0</v>
      </c>
      <c r="N249" s="279">
        <f t="shared" si="108"/>
        <v>0</v>
      </c>
      <c r="O249" s="279">
        <f t="shared" si="108"/>
        <v>0</v>
      </c>
    </row>
    <row r="250" ht="15.25" customHeight="1" spans="1:15">
      <c r="A250" s="251" t="s">
        <v>515</v>
      </c>
      <c r="B250" s="247" t="s">
        <v>555</v>
      </c>
      <c r="C250" s="270"/>
      <c r="D250" s="270"/>
      <c r="E250" s="270"/>
      <c r="F250" s="252">
        <v>54000000</v>
      </c>
      <c r="G250" s="252"/>
      <c r="H250" s="252"/>
      <c r="I250" s="252">
        <v>54000000</v>
      </c>
      <c r="J250" s="274">
        <v>100</v>
      </c>
      <c r="K250" s="252">
        <v>54000000</v>
      </c>
      <c r="L250" s="272"/>
      <c r="M250" s="272"/>
      <c r="N250" s="272"/>
      <c r="O250" s="272"/>
    </row>
    <row r="251" ht="15" customHeight="1" spans="1:16">
      <c r="A251" s="246" t="s">
        <v>597</v>
      </c>
      <c r="B251" s="297" t="s">
        <v>598</v>
      </c>
      <c r="C251" s="248"/>
      <c r="D251" s="270"/>
      <c r="E251" s="270"/>
      <c r="F251" s="248">
        <f>F252</f>
        <v>3193500</v>
      </c>
      <c r="G251" s="248">
        <f t="shared" ref="G251:P251" si="109">G252</f>
        <v>0</v>
      </c>
      <c r="H251" s="248">
        <f t="shared" si="109"/>
        <v>0</v>
      </c>
      <c r="I251" s="248">
        <f t="shared" si="109"/>
        <v>3193500</v>
      </c>
      <c r="J251" s="248">
        <f t="shared" si="109"/>
        <v>0</v>
      </c>
      <c r="K251" s="248">
        <f t="shared" si="109"/>
        <v>3193500</v>
      </c>
      <c r="L251" s="248">
        <f t="shared" si="109"/>
        <v>0</v>
      </c>
      <c r="M251" s="248">
        <f t="shared" si="109"/>
        <v>0</v>
      </c>
      <c r="N251" s="248">
        <f t="shared" si="109"/>
        <v>0</v>
      </c>
      <c r="O251" s="248">
        <f t="shared" si="109"/>
        <v>0</v>
      </c>
      <c r="P251" s="248"/>
    </row>
    <row r="252" ht="15" customHeight="1" spans="1:15">
      <c r="A252" s="246" t="s">
        <v>485</v>
      </c>
      <c r="B252" s="297" t="s">
        <v>412</v>
      </c>
      <c r="C252" s="248"/>
      <c r="D252" s="270"/>
      <c r="E252" s="270"/>
      <c r="F252" s="248">
        <f>F253+F257</f>
        <v>3193500</v>
      </c>
      <c r="G252" s="248">
        <f t="shared" ref="G252:O252" si="110">G253+G257</f>
        <v>0</v>
      </c>
      <c r="H252" s="248">
        <f t="shared" si="110"/>
        <v>0</v>
      </c>
      <c r="I252" s="248">
        <f t="shared" si="110"/>
        <v>3193500</v>
      </c>
      <c r="J252" s="248">
        <f t="shared" si="110"/>
        <v>0</v>
      </c>
      <c r="K252" s="248">
        <f t="shared" si="110"/>
        <v>3193500</v>
      </c>
      <c r="L252" s="248">
        <f t="shared" si="110"/>
        <v>0</v>
      </c>
      <c r="M252" s="248">
        <f t="shared" si="110"/>
        <v>0</v>
      </c>
      <c r="N252" s="248">
        <f t="shared" si="110"/>
        <v>0</v>
      </c>
      <c r="O252" s="248">
        <f t="shared" si="110"/>
        <v>0</v>
      </c>
    </row>
    <row r="253" ht="15" customHeight="1" spans="1:15">
      <c r="A253" s="246" t="s">
        <v>486</v>
      </c>
      <c r="B253" s="297" t="s">
        <v>527</v>
      </c>
      <c r="C253" s="248"/>
      <c r="D253" s="270"/>
      <c r="E253" s="270"/>
      <c r="F253" s="248">
        <f>SUM(F254:F256)</f>
        <v>1543500</v>
      </c>
      <c r="G253" s="248">
        <f t="shared" ref="G253:O253" si="111">SUM(G254:G256)</f>
        <v>0</v>
      </c>
      <c r="H253" s="248">
        <f t="shared" si="111"/>
        <v>0</v>
      </c>
      <c r="I253" s="248">
        <f t="shared" si="111"/>
        <v>1543500</v>
      </c>
      <c r="J253" s="248">
        <f t="shared" si="111"/>
        <v>0</v>
      </c>
      <c r="K253" s="248">
        <f t="shared" si="111"/>
        <v>1543500</v>
      </c>
      <c r="L253" s="248">
        <f t="shared" si="111"/>
        <v>0</v>
      </c>
      <c r="M253" s="248">
        <f t="shared" si="111"/>
        <v>0</v>
      </c>
      <c r="N253" s="248">
        <f t="shared" si="111"/>
        <v>0</v>
      </c>
      <c r="O253" s="248">
        <f t="shared" si="111"/>
        <v>0</v>
      </c>
    </row>
    <row r="254" s="224" customFormat="1" ht="15" customHeight="1" spans="1:15">
      <c r="A254" s="251" t="s">
        <v>534</v>
      </c>
      <c r="B254" s="247" t="s">
        <v>535</v>
      </c>
      <c r="C254" s="252"/>
      <c r="D254" s="298"/>
      <c r="E254" s="298"/>
      <c r="F254" s="252">
        <v>100000</v>
      </c>
      <c r="G254" s="252"/>
      <c r="H254" s="252"/>
      <c r="I254" s="252">
        <v>100000</v>
      </c>
      <c r="J254" s="252"/>
      <c r="K254" s="252">
        <v>100000</v>
      </c>
      <c r="L254" s="302"/>
      <c r="M254" s="302"/>
      <c r="N254" s="302"/>
      <c r="O254" s="302"/>
    </row>
    <row r="255" s="224" customFormat="1" ht="15" customHeight="1" spans="1:15">
      <c r="A255" s="251" t="s">
        <v>536</v>
      </c>
      <c r="B255" s="247" t="s">
        <v>599</v>
      </c>
      <c r="C255" s="252"/>
      <c r="D255" s="298"/>
      <c r="E255" s="298"/>
      <c r="F255" s="252">
        <v>193500</v>
      </c>
      <c r="G255" s="252"/>
      <c r="H255" s="252"/>
      <c r="I255" s="252">
        <v>193500</v>
      </c>
      <c r="J255" s="252"/>
      <c r="K255" s="252">
        <v>193500</v>
      </c>
      <c r="L255" s="302"/>
      <c r="M255" s="302"/>
      <c r="N255" s="302"/>
      <c r="O255" s="302"/>
    </row>
    <row r="256" s="224" customFormat="1" ht="15" customHeight="1" spans="1:15">
      <c r="A256" s="251" t="s">
        <v>538</v>
      </c>
      <c r="B256" s="247" t="s">
        <v>465</v>
      </c>
      <c r="C256" s="252"/>
      <c r="D256" s="298"/>
      <c r="E256" s="298"/>
      <c r="F256" s="252">
        <v>1250000</v>
      </c>
      <c r="G256" s="252"/>
      <c r="H256" s="252"/>
      <c r="I256" s="252">
        <v>1250000</v>
      </c>
      <c r="J256" s="252"/>
      <c r="K256" s="252">
        <v>1250000</v>
      </c>
      <c r="L256" s="302"/>
      <c r="M256" s="302"/>
      <c r="N256" s="302"/>
      <c r="O256" s="302"/>
    </row>
    <row r="257" ht="15" customHeight="1" spans="1:15">
      <c r="A257" s="246" t="s">
        <v>540</v>
      </c>
      <c r="B257" s="297" t="s">
        <v>453</v>
      </c>
      <c r="C257" s="248"/>
      <c r="D257" s="270"/>
      <c r="E257" s="270"/>
      <c r="F257" s="248">
        <f>SUM(F258:F259)</f>
        <v>1650000</v>
      </c>
      <c r="G257" s="248">
        <f t="shared" ref="G257:O257" si="112">SUM(G258:G259)</f>
        <v>0</v>
      </c>
      <c r="H257" s="248">
        <f t="shared" si="112"/>
        <v>0</v>
      </c>
      <c r="I257" s="248">
        <f t="shared" si="112"/>
        <v>1650000</v>
      </c>
      <c r="J257" s="248">
        <f t="shared" si="112"/>
        <v>0</v>
      </c>
      <c r="K257" s="248">
        <f t="shared" si="112"/>
        <v>1650000</v>
      </c>
      <c r="L257" s="248">
        <f t="shared" si="112"/>
        <v>0</v>
      </c>
      <c r="M257" s="248">
        <f t="shared" si="112"/>
        <v>0</v>
      </c>
      <c r="N257" s="248">
        <f t="shared" si="112"/>
        <v>0</v>
      </c>
      <c r="O257" s="248">
        <f t="shared" si="112"/>
        <v>0</v>
      </c>
    </row>
    <row r="258" s="224" customFormat="1" ht="15" customHeight="1" spans="1:15">
      <c r="A258" s="251" t="s">
        <v>543</v>
      </c>
      <c r="B258" s="247" t="s">
        <v>600</v>
      </c>
      <c r="C258" s="252"/>
      <c r="D258" s="298"/>
      <c r="E258" s="298"/>
      <c r="F258" s="252">
        <v>400000</v>
      </c>
      <c r="G258" s="252"/>
      <c r="H258" s="252"/>
      <c r="I258" s="252">
        <v>400000</v>
      </c>
      <c r="J258" s="252"/>
      <c r="K258" s="252">
        <v>400000</v>
      </c>
      <c r="L258" s="302"/>
      <c r="M258" s="302"/>
      <c r="N258" s="302"/>
      <c r="O258" s="302"/>
    </row>
    <row r="259" s="224" customFormat="1" ht="15" customHeight="1" spans="1:15">
      <c r="A259" s="251" t="s">
        <v>587</v>
      </c>
      <c r="B259" s="247" t="s">
        <v>430</v>
      </c>
      <c r="C259" s="252"/>
      <c r="D259" s="298"/>
      <c r="E259" s="298"/>
      <c r="F259" s="252">
        <v>1250000</v>
      </c>
      <c r="G259" s="252"/>
      <c r="H259" s="252"/>
      <c r="I259" s="252">
        <v>1250000</v>
      </c>
      <c r="J259" s="252"/>
      <c r="K259" s="252">
        <v>1250000</v>
      </c>
      <c r="L259" s="302"/>
      <c r="M259" s="302"/>
      <c r="N259" s="302"/>
      <c r="O259" s="302"/>
    </row>
    <row r="260" ht="15" customHeight="1" spans="1:15">
      <c r="A260" s="246" t="s">
        <v>601</v>
      </c>
      <c r="B260" s="297" t="s">
        <v>602</v>
      </c>
      <c r="C260" s="248">
        <v>791100000</v>
      </c>
      <c r="D260" s="270"/>
      <c r="E260" s="270"/>
      <c r="F260" s="248">
        <f>F261+F266+F273+F280+F287</f>
        <v>674179730</v>
      </c>
      <c r="G260" s="248">
        <f t="shared" ref="G260:O260" si="113">G261+G266+G273+G280+G287</f>
        <v>0</v>
      </c>
      <c r="H260" s="248">
        <f t="shared" si="113"/>
        <v>0</v>
      </c>
      <c r="I260" s="248">
        <f t="shared" si="113"/>
        <v>633387000</v>
      </c>
      <c r="J260" s="248">
        <f t="shared" si="113"/>
        <v>1000</v>
      </c>
      <c r="K260" s="248">
        <f t="shared" si="113"/>
        <v>633387000</v>
      </c>
      <c r="L260" s="248">
        <f t="shared" si="113"/>
        <v>0</v>
      </c>
      <c r="M260" s="248">
        <f t="shared" si="113"/>
        <v>0</v>
      </c>
      <c r="N260" s="248">
        <f t="shared" si="113"/>
        <v>0</v>
      </c>
      <c r="O260" s="248">
        <f t="shared" si="113"/>
        <v>0</v>
      </c>
    </row>
    <row r="261" ht="16" customHeight="1" spans="1:15">
      <c r="A261" s="246" t="s">
        <v>603</v>
      </c>
      <c r="B261" s="247" t="s">
        <v>604</v>
      </c>
      <c r="C261" s="270"/>
      <c r="D261" s="270"/>
      <c r="E261" s="270"/>
      <c r="F261" s="248">
        <f>F262</f>
        <v>212565000</v>
      </c>
      <c r="G261" s="248">
        <f t="shared" ref="G261:O261" si="114">G262</f>
        <v>0</v>
      </c>
      <c r="H261" s="248">
        <f t="shared" si="114"/>
        <v>0</v>
      </c>
      <c r="I261" s="248">
        <f t="shared" si="114"/>
        <v>212565000</v>
      </c>
      <c r="J261" s="248">
        <f t="shared" si="114"/>
        <v>200</v>
      </c>
      <c r="K261" s="248">
        <f t="shared" si="114"/>
        <v>212565000</v>
      </c>
      <c r="L261" s="248">
        <f t="shared" si="114"/>
        <v>0</v>
      </c>
      <c r="M261" s="248">
        <f t="shared" si="114"/>
        <v>0</v>
      </c>
      <c r="N261" s="248">
        <f t="shared" si="114"/>
        <v>0</v>
      </c>
      <c r="O261" s="248">
        <f t="shared" si="114"/>
        <v>0</v>
      </c>
    </row>
    <row r="262" ht="16.75" customHeight="1" spans="1:15">
      <c r="A262" s="246" t="s">
        <v>479</v>
      </c>
      <c r="B262" s="247" t="s">
        <v>197</v>
      </c>
      <c r="C262" s="270"/>
      <c r="D262" s="270"/>
      <c r="E262" s="270"/>
      <c r="F262" s="248">
        <f>F263</f>
        <v>212565000</v>
      </c>
      <c r="G262" s="248">
        <f t="shared" ref="G262:O262" si="115">G263</f>
        <v>0</v>
      </c>
      <c r="H262" s="248">
        <f t="shared" si="115"/>
        <v>0</v>
      </c>
      <c r="I262" s="248">
        <f t="shared" si="115"/>
        <v>212565000</v>
      </c>
      <c r="J262" s="248">
        <f t="shared" si="115"/>
        <v>200</v>
      </c>
      <c r="K262" s="248">
        <f t="shared" si="115"/>
        <v>212565000</v>
      </c>
      <c r="L262" s="248">
        <f t="shared" si="115"/>
        <v>0</v>
      </c>
      <c r="M262" s="248">
        <f t="shared" si="115"/>
        <v>0</v>
      </c>
      <c r="N262" s="248">
        <f t="shared" si="115"/>
        <v>0</v>
      </c>
      <c r="O262" s="248">
        <f t="shared" si="115"/>
        <v>0</v>
      </c>
    </row>
    <row r="263" ht="15.25" customHeight="1" spans="1:15">
      <c r="A263" s="249" t="s">
        <v>605</v>
      </c>
      <c r="B263" s="247" t="s">
        <v>606</v>
      </c>
      <c r="C263" s="270"/>
      <c r="D263" s="270"/>
      <c r="E263" s="270"/>
      <c r="F263" s="250">
        <f>SUM(F264:F265)</f>
        <v>212565000</v>
      </c>
      <c r="G263" s="250">
        <f t="shared" ref="G263:O263" si="116">SUM(G264:G265)</f>
        <v>0</v>
      </c>
      <c r="H263" s="250">
        <f t="shared" si="116"/>
        <v>0</v>
      </c>
      <c r="I263" s="250">
        <f t="shared" si="116"/>
        <v>212565000</v>
      </c>
      <c r="J263" s="250">
        <f t="shared" si="116"/>
        <v>200</v>
      </c>
      <c r="K263" s="250">
        <f t="shared" si="116"/>
        <v>212565000</v>
      </c>
      <c r="L263" s="250">
        <f t="shared" si="116"/>
        <v>0</v>
      </c>
      <c r="M263" s="250">
        <f t="shared" si="116"/>
        <v>0</v>
      </c>
      <c r="N263" s="250">
        <f t="shared" si="116"/>
        <v>0</v>
      </c>
      <c r="O263" s="250">
        <f t="shared" si="116"/>
        <v>0</v>
      </c>
    </row>
    <row r="264" ht="15.75" customHeight="1" spans="1:15">
      <c r="A264" s="251" t="s">
        <v>607</v>
      </c>
      <c r="B264" s="247" t="s">
        <v>474</v>
      </c>
      <c r="C264" s="270"/>
      <c r="D264" s="270"/>
      <c r="E264" s="270"/>
      <c r="F264" s="252">
        <v>18875000</v>
      </c>
      <c r="G264" s="252"/>
      <c r="H264" s="252"/>
      <c r="I264" s="252">
        <v>18875000</v>
      </c>
      <c r="J264" s="274">
        <v>100</v>
      </c>
      <c r="K264" s="252">
        <v>18875000</v>
      </c>
      <c r="L264" s="272"/>
      <c r="M264" s="272"/>
      <c r="N264" s="272"/>
      <c r="O264" s="272"/>
    </row>
    <row r="265" ht="14.75" customHeight="1" spans="1:15">
      <c r="A265" s="251" t="s">
        <v>607</v>
      </c>
      <c r="B265" s="247" t="s">
        <v>476</v>
      </c>
      <c r="C265" s="270"/>
      <c r="D265" s="270"/>
      <c r="E265" s="270"/>
      <c r="F265" s="252">
        <v>193690000</v>
      </c>
      <c r="G265" s="252"/>
      <c r="H265" s="252"/>
      <c r="I265" s="252">
        <v>193690000</v>
      </c>
      <c r="J265" s="274">
        <v>100</v>
      </c>
      <c r="K265" s="252">
        <v>193690000</v>
      </c>
      <c r="L265" s="272"/>
      <c r="M265" s="272"/>
      <c r="N265" s="272"/>
      <c r="O265" s="272"/>
    </row>
    <row r="266" ht="15.25" customHeight="1" spans="1:16">
      <c r="A266" s="317" t="s">
        <v>608</v>
      </c>
      <c r="B266" s="266" t="s">
        <v>609</v>
      </c>
      <c r="C266" s="270"/>
      <c r="D266" s="270"/>
      <c r="E266" s="270"/>
      <c r="F266" s="248">
        <f>F267</f>
        <v>99175730</v>
      </c>
      <c r="G266" s="248">
        <f t="shared" ref="G266:O266" si="117">G267</f>
        <v>0</v>
      </c>
      <c r="H266" s="248">
        <f t="shared" si="117"/>
        <v>0</v>
      </c>
      <c r="I266" s="248">
        <f t="shared" si="117"/>
        <v>99171000</v>
      </c>
      <c r="J266" s="248">
        <f t="shared" si="117"/>
        <v>300</v>
      </c>
      <c r="K266" s="248">
        <f t="shared" si="117"/>
        <v>99171000</v>
      </c>
      <c r="L266" s="248">
        <f t="shared" si="117"/>
        <v>0</v>
      </c>
      <c r="M266" s="248">
        <f t="shared" si="117"/>
        <v>0</v>
      </c>
      <c r="N266" s="248">
        <f t="shared" si="117"/>
        <v>0</v>
      </c>
      <c r="O266" s="248">
        <f t="shared" si="117"/>
        <v>0</v>
      </c>
      <c r="P266" s="291"/>
    </row>
    <row r="267" ht="16.75" customHeight="1" spans="1:15">
      <c r="A267" s="246" t="s">
        <v>470</v>
      </c>
      <c r="B267" s="247" t="s">
        <v>197</v>
      </c>
      <c r="C267" s="270"/>
      <c r="D267" s="270"/>
      <c r="E267" s="270"/>
      <c r="F267" s="248">
        <f>F268+F270</f>
        <v>99175730</v>
      </c>
      <c r="G267" s="248">
        <f t="shared" ref="G267:O267" si="118">G268+G270</f>
        <v>0</v>
      </c>
      <c r="H267" s="248">
        <f t="shared" si="118"/>
        <v>0</v>
      </c>
      <c r="I267" s="248">
        <f t="shared" si="118"/>
        <v>99171000</v>
      </c>
      <c r="J267" s="248">
        <f t="shared" si="118"/>
        <v>300</v>
      </c>
      <c r="K267" s="248">
        <f t="shared" si="118"/>
        <v>99171000</v>
      </c>
      <c r="L267" s="248">
        <f t="shared" si="118"/>
        <v>0</v>
      </c>
      <c r="M267" s="248">
        <f t="shared" si="118"/>
        <v>0</v>
      </c>
      <c r="N267" s="248">
        <f t="shared" si="118"/>
        <v>0</v>
      </c>
      <c r="O267" s="248">
        <f t="shared" si="118"/>
        <v>0</v>
      </c>
    </row>
    <row r="268" ht="15.25" customHeight="1" spans="1:15">
      <c r="A268" s="249" t="s">
        <v>489</v>
      </c>
      <c r="B268" s="247" t="s">
        <v>490</v>
      </c>
      <c r="C268" s="270"/>
      <c r="D268" s="270"/>
      <c r="E268" s="270"/>
      <c r="F268" s="250">
        <f>SUM(F269:F269)</f>
        <v>6946000</v>
      </c>
      <c r="G268" s="250">
        <f t="shared" ref="G268:O268" si="119">SUM(G269:G269)</f>
        <v>0</v>
      </c>
      <c r="H268" s="250">
        <f t="shared" si="119"/>
        <v>0</v>
      </c>
      <c r="I268" s="250">
        <f t="shared" si="119"/>
        <v>6946000</v>
      </c>
      <c r="J268" s="250">
        <f t="shared" si="119"/>
        <v>100</v>
      </c>
      <c r="K268" s="250">
        <f t="shared" si="119"/>
        <v>6946000</v>
      </c>
      <c r="L268" s="250">
        <f t="shared" si="119"/>
        <v>0</v>
      </c>
      <c r="M268" s="250">
        <f t="shared" si="119"/>
        <v>0</v>
      </c>
      <c r="N268" s="250">
        <f t="shared" si="119"/>
        <v>0</v>
      </c>
      <c r="O268" s="250">
        <f t="shared" si="119"/>
        <v>0</v>
      </c>
    </row>
    <row r="269" ht="15.75" customHeight="1" spans="1:15">
      <c r="A269" s="251" t="s">
        <v>610</v>
      </c>
      <c r="B269" s="247" t="s">
        <v>611</v>
      </c>
      <c r="C269" s="270"/>
      <c r="D269" s="270"/>
      <c r="E269" s="270"/>
      <c r="F269" s="252">
        <v>6946000</v>
      </c>
      <c r="G269" s="252"/>
      <c r="H269" s="252"/>
      <c r="I269" s="252">
        <v>6946000</v>
      </c>
      <c r="J269" s="274">
        <v>100</v>
      </c>
      <c r="K269" s="252">
        <v>6946000</v>
      </c>
      <c r="L269" s="272"/>
      <c r="M269" s="272"/>
      <c r="N269" s="272"/>
      <c r="O269" s="272"/>
    </row>
    <row r="270" ht="16" customHeight="1" spans="1:15">
      <c r="A270" s="246" t="s">
        <v>605</v>
      </c>
      <c r="B270" s="247" t="s">
        <v>612</v>
      </c>
      <c r="C270" s="270"/>
      <c r="D270" s="270"/>
      <c r="E270" s="270"/>
      <c r="F270" s="248">
        <f>SUM(F271:F272)</f>
        <v>92229730</v>
      </c>
      <c r="G270" s="248">
        <f t="shared" ref="G270:O270" si="120">SUM(G271:G272)</f>
        <v>0</v>
      </c>
      <c r="H270" s="248">
        <f t="shared" si="120"/>
        <v>0</v>
      </c>
      <c r="I270" s="248">
        <f t="shared" si="120"/>
        <v>92225000</v>
      </c>
      <c r="J270" s="248">
        <f t="shared" si="120"/>
        <v>200</v>
      </c>
      <c r="K270" s="248">
        <f t="shared" si="120"/>
        <v>92225000</v>
      </c>
      <c r="L270" s="248">
        <f t="shared" si="120"/>
        <v>0</v>
      </c>
      <c r="M270" s="248">
        <f t="shared" si="120"/>
        <v>0</v>
      </c>
      <c r="N270" s="248">
        <f t="shared" si="120"/>
        <v>0</v>
      </c>
      <c r="O270" s="248">
        <f t="shared" si="120"/>
        <v>0</v>
      </c>
    </row>
    <row r="271" ht="15.75" customHeight="1" spans="1:15">
      <c r="A271" s="251" t="s">
        <v>613</v>
      </c>
      <c r="B271" s="247" t="s">
        <v>614</v>
      </c>
      <c r="C271" s="270"/>
      <c r="D271" s="270"/>
      <c r="E271" s="270"/>
      <c r="F271" s="252">
        <v>28375000</v>
      </c>
      <c r="G271" s="252"/>
      <c r="H271" s="252"/>
      <c r="I271" s="252">
        <v>28375000</v>
      </c>
      <c r="J271" s="274">
        <v>100</v>
      </c>
      <c r="K271" s="252">
        <v>28375000</v>
      </c>
      <c r="L271" s="272"/>
      <c r="M271" s="272"/>
      <c r="N271" s="272"/>
      <c r="O271" s="272"/>
    </row>
    <row r="272" ht="14.75" customHeight="1" spans="1:15">
      <c r="A272" s="251" t="s">
        <v>615</v>
      </c>
      <c r="B272" s="247" t="s">
        <v>616</v>
      </c>
      <c r="C272" s="270"/>
      <c r="D272" s="270"/>
      <c r="E272" s="270"/>
      <c r="F272" s="252">
        <v>63854730</v>
      </c>
      <c r="G272" s="252"/>
      <c r="H272" s="252"/>
      <c r="I272" s="252">
        <v>63850000</v>
      </c>
      <c r="J272" s="274">
        <v>100</v>
      </c>
      <c r="K272" s="252">
        <v>63850000</v>
      </c>
      <c r="L272" s="272"/>
      <c r="M272" s="272"/>
      <c r="N272" s="272"/>
      <c r="O272" s="272"/>
    </row>
    <row r="273" s="223" customFormat="1" ht="15.25" customHeight="1" spans="1:15">
      <c r="A273" s="246" t="s">
        <v>617</v>
      </c>
      <c r="B273" s="266" t="s">
        <v>618</v>
      </c>
      <c r="C273" s="296"/>
      <c r="D273" s="296"/>
      <c r="E273" s="296"/>
      <c r="F273" s="248">
        <f>F274</f>
        <v>135586000</v>
      </c>
      <c r="G273" s="248">
        <f t="shared" ref="G273:O273" si="121">G274</f>
        <v>0</v>
      </c>
      <c r="H273" s="248">
        <f t="shared" si="121"/>
        <v>0</v>
      </c>
      <c r="I273" s="248">
        <f t="shared" si="121"/>
        <v>135586000</v>
      </c>
      <c r="J273" s="248">
        <f t="shared" si="121"/>
        <v>100</v>
      </c>
      <c r="K273" s="248">
        <f t="shared" si="121"/>
        <v>135586000</v>
      </c>
      <c r="L273" s="248">
        <f t="shared" si="121"/>
        <v>0</v>
      </c>
      <c r="M273" s="248">
        <f t="shared" si="121"/>
        <v>0</v>
      </c>
      <c r="N273" s="248">
        <f t="shared" si="121"/>
        <v>0</v>
      </c>
      <c r="O273" s="248">
        <f t="shared" si="121"/>
        <v>0</v>
      </c>
    </row>
    <row r="274" s="223" customFormat="1" ht="16.75" customHeight="1" spans="1:15">
      <c r="A274" s="246" t="s">
        <v>619</v>
      </c>
      <c r="B274" s="266" t="s">
        <v>197</v>
      </c>
      <c r="C274" s="296"/>
      <c r="D274" s="296"/>
      <c r="E274" s="296"/>
      <c r="F274" s="248">
        <f>F275</f>
        <v>135586000</v>
      </c>
      <c r="G274" s="248">
        <f t="shared" ref="G274:O274" si="122">G275</f>
        <v>0</v>
      </c>
      <c r="H274" s="248">
        <f t="shared" si="122"/>
        <v>0</v>
      </c>
      <c r="I274" s="248">
        <f t="shared" si="122"/>
        <v>135586000</v>
      </c>
      <c r="J274" s="248">
        <f t="shared" si="122"/>
        <v>100</v>
      </c>
      <c r="K274" s="248">
        <f t="shared" si="122"/>
        <v>135586000</v>
      </c>
      <c r="L274" s="248">
        <f t="shared" si="122"/>
        <v>0</v>
      </c>
      <c r="M274" s="248">
        <f t="shared" si="122"/>
        <v>0</v>
      </c>
      <c r="N274" s="248">
        <f t="shared" si="122"/>
        <v>0</v>
      </c>
      <c r="O274" s="248">
        <f t="shared" si="122"/>
        <v>0</v>
      </c>
    </row>
    <row r="275" ht="16" customHeight="1" spans="1:16">
      <c r="A275" s="249" t="s">
        <v>620</v>
      </c>
      <c r="B275" s="266" t="s">
        <v>621</v>
      </c>
      <c r="C275" s="270"/>
      <c r="D275" s="270"/>
      <c r="E275" s="270"/>
      <c r="F275" s="250">
        <f>SUM(F276:F279)</f>
        <v>135586000</v>
      </c>
      <c r="G275" s="250">
        <f t="shared" ref="G275:P275" si="123">SUM(G276:G279)</f>
        <v>0</v>
      </c>
      <c r="H275" s="250">
        <f t="shared" si="123"/>
        <v>0</v>
      </c>
      <c r="I275" s="250">
        <f t="shared" si="123"/>
        <v>135586000</v>
      </c>
      <c r="J275" s="250">
        <f t="shared" si="123"/>
        <v>100</v>
      </c>
      <c r="K275" s="250">
        <f t="shared" si="123"/>
        <v>135586000</v>
      </c>
      <c r="L275" s="250">
        <f t="shared" si="123"/>
        <v>0</v>
      </c>
      <c r="M275" s="250">
        <f t="shared" si="123"/>
        <v>0</v>
      </c>
      <c r="N275" s="250">
        <f t="shared" si="123"/>
        <v>0</v>
      </c>
      <c r="O275" s="250">
        <f t="shared" si="123"/>
        <v>0</v>
      </c>
      <c r="P275" s="250"/>
    </row>
    <row r="276" ht="17.75" customHeight="1" spans="1:15">
      <c r="A276" s="267" t="s">
        <v>622</v>
      </c>
      <c r="B276" s="242" t="s">
        <v>623</v>
      </c>
      <c r="C276" s="268"/>
      <c r="D276" s="268"/>
      <c r="E276" s="268"/>
      <c r="F276" s="269">
        <v>1475000</v>
      </c>
      <c r="G276" s="269"/>
      <c r="H276" s="269"/>
      <c r="I276" s="269">
        <v>1475000</v>
      </c>
      <c r="J276" s="293">
        <v>100</v>
      </c>
      <c r="K276" s="269">
        <v>1475000</v>
      </c>
      <c r="L276" s="272"/>
      <c r="M276" s="272"/>
      <c r="N276" s="272"/>
      <c r="O276" s="272"/>
    </row>
    <row r="277" ht="15.75" customHeight="1" spans="1:15">
      <c r="A277" s="249" t="s">
        <v>624</v>
      </c>
      <c r="B277" s="247" t="s">
        <v>616</v>
      </c>
      <c r="C277" s="270"/>
      <c r="D277" s="270"/>
      <c r="E277" s="270"/>
      <c r="F277" s="250">
        <v>125121000</v>
      </c>
      <c r="G277" s="250"/>
      <c r="H277" s="250"/>
      <c r="I277" s="250">
        <v>125121000</v>
      </c>
      <c r="J277" s="250"/>
      <c r="K277" s="250">
        <v>125121000</v>
      </c>
      <c r="L277" s="279"/>
      <c r="M277" s="279"/>
      <c r="N277" s="279"/>
      <c r="O277" s="279"/>
    </row>
    <row r="278" ht="15.75" customHeight="1" spans="1:15">
      <c r="A278" s="249" t="s">
        <v>625</v>
      </c>
      <c r="B278" s="247" t="s">
        <v>626</v>
      </c>
      <c r="C278" s="270"/>
      <c r="D278" s="270"/>
      <c r="E278" s="270"/>
      <c r="F278" s="250">
        <v>7396000</v>
      </c>
      <c r="G278" s="250"/>
      <c r="H278" s="250"/>
      <c r="I278" s="250">
        <v>7396000</v>
      </c>
      <c r="J278" s="250"/>
      <c r="K278" s="250">
        <v>7396000</v>
      </c>
      <c r="L278" s="279"/>
      <c r="M278" s="279"/>
      <c r="N278" s="279"/>
      <c r="O278" s="279"/>
    </row>
    <row r="279" ht="15.75" customHeight="1" spans="1:15">
      <c r="A279" s="249" t="s">
        <v>627</v>
      </c>
      <c r="B279" s="247" t="s">
        <v>628</v>
      </c>
      <c r="C279" s="270"/>
      <c r="D279" s="270"/>
      <c r="E279" s="270"/>
      <c r="F279" s="250">
        <v>1594000</v>
      </c>
      <c r="G279" s="250"/>
      <c r="H279" s="250"/>
      <c r="I279" s="250">
        <v>1594000</v>
      </c>
      <c r="J279" s="250"/>
      <c r="K279" s="250">
        <v>1594000</v>
      </c>
      <c r="L279" s="279"/>
      <c r="M279" s="279"/>
      <c r="N279" s="279"/>
      <c r="O279" s="279"/>
    </row>
    <row r="280" ht="15.5" customHeight="1" spans="1:15">
      <c r="A280" s="246" t="s">
        <v>629</v>
      </c>
      <c r="B280" s="266" t="s">
        <v>630</v>
      </c>
      <c r="C280" s="270"/>
      <c r="D280" s="270"/>
      <c r="E280" s="270"/>
      <c r="F280" s="248">
        <f>F281</f>
        <v>186065000</v>
      </c>
      <c r="G280" s="248">
        <f t="shared" ref="G280:O280" si="124">G281</f>
        <v>0</v>
      </c>
      <c r="H280" s="248">
        <f t="shared" si="124"/>
        <v>0</v>
      </c>
      <c r="I280" s="248">
        <f t="shared" si="124"/>
        <v>186065000</v>
      </c>
      <c r="J280" s="248">
        <f t="shared" si="124"/>
        <v>0</v>
      </c>
      <c r="K280" s="248">
        <f t="shared" si="124"/>
        <v>186065000</v>
      </c>
      <c r="L280" s="248">
        <f t="shared" si="124"/>
        <v>0</v>
      </c>
      <c r="M280" s="248">
        <f t="shared" si="124"/>
        <v>0</v>
      </c>
      <c r="N280" s="248">
        <f t="shared" si="124"/>
        <v>0</v>
      </c>
      <c r="O280" s="248">
        <f t="shared" si="124"/>
        <v>0</v>
      </c>
    </row>
    <row r="281" ht="16.75" customHeight="1" spans="1:15">
      <c r="A281" s="246" t="s">
        <v>479</v>
      </c>
      <c r="B281" s="247" t="s">
        <v>197</v>
      </c>
      <c r="C281" s="270"/>
      <c r="D281" s="270"/>
      <c r="E281" s="270"/>
      <c r="F281" s="248">
        <f>F282</f>
        <v>186065000</v>
      </c>
      <c r="G281" s="248"/>
      <c r="H281" s="248"/>
      <c r="I281" s="248">
        <f>I282</f>
        <v>186065000</v>
      </c>
      <c r="J281" s="248"/>
      <c r="K281" s="276">
        <f>K282</f>
        <v>186065000</v>
      </c>
      <c r="L281" s="277">
        <f>L282</f>
        <v>0</v>
      </c>
      <c r="M281" s="277">
        <f>M282</f>
        <v>0</v>
      </c>
      <c r="N281" s="277">
        <f>N282</f>
        <v>0</v>
      </c>
      <c r="O281" s="277">
        <f>O282</f>
        <v>0</v>
      </c>
    </row>
    <row r="282" ht="15.5" customHeight="1" spans="1:16">
      <c r="A282" s="249" t="s">
        <v>631</v>
      </c>
      <c r="B282" s="247" t="s">
        <v>612</v>
      </c>
      <c r="C282" s="270"/>
      <c r="D282" s="270"/>
      <c r="E282" s="270"/>
      <c r="F282" s="250">
        <f>SUM(F283:F286)</f>
        <v>186065000</v>
      </c>
      <c r="G282" s="250"/>
      <c r="H282" s="250"/>
      <c r="I282" s="250">
        <f t="shared" ref="I282:P282" si="125">SUM(I283:I286)</f>
        <v>186065000</v>
      </c>
      <c r="J282" s="250"/>
      <c r="K282" s="278">
        <f t="shared" si="125"/>
        <v>186065000</v>
      </c>
      <c r="L282" s="279">
        <f t="shared" si="125"/>
        <v>0</v>
      </c>
      <c r="M282" s="279">
        <f t="shared" si="125"/>
        <v>0</v>
      </c>
      <c r="N282" s="279">
        <f t="shared" si="125"/>
        <v>0</v>
      </c>
      <c r="O282" s="279">
        <f t="shared" si="125"/>
        <v>0</v>
      </c>
      <c r="P282" s="319"/>
    </row>
    <row r="283" ht="15.75" customHeight="1" spans="1:15">
      <c r="A283" s="251" t="s">
        <v>632</v>
      </c>
      <c r="B283" s="247" t="s">
        <v>623</v>
      </c>
      <c r="C283" s="270"/>
      <c r="D283" s="270"/>
      <c r="E283" s="270"/>
      <c r="F283" s="275">
        <v>1475000</v>
      </c>
      <c r="G283" s="275"/>
      <c r="H283" s="275"/>
      <c r="I283" s="275">
        <v>1475000</v>
      </c>
      <c r="J283" s="274">
        <v>0</v>
      </c>
      <c r="K283" s="275">
        <v>1475000</v>
      </c>
      <c r="L283" s="272"/>
      <c r="M283" s="272"/>
      <c r="N283" s="272"/>
      <c r="O283" s="272"/>
    </row>
    <row r="284" ht="15.75" customHeight="1" spans="1:15">
      <c r="A284" s="251" t="s">
        <v>613</v>
      </c>
      <c r="B284" s="247" t="s">
        <v>633</v>
      </c>
      <c r="C284" s="270"/>
      <c r="D284" s="270"/>
      <c r="E284" s="270"/>
      <c r="F284" s="252">
        <v>25590000</v>
      </c>
      <c r="G284" s="252"/>
      <c r="H284" s="252"/>
      <c r="I284" s="252">
        <v>25590000</v>
      </c>
      <c r="J284" s="274">
        <v>100</v>
      </c>
      <c r="K284" s="252">
        <v>25590000</v>
      </c>
      <c r="L284" s="272"/>
      <c r="M284" s="272"/>
      <c r="N284" s="272"/>
      <c r="O284" s="272"/>
    </row>
    <row r="285" ht="15.75" customHeight="1" spans="1:15">
      <c r="A285" s="251" t="s">
        <v>615</v>
      </c>
      <c r="B285" s="247" t="s">
        <v>634</v>
      </c>
      <c r="C285" s="270"/>
      <c r="D285" s="270"/>
      <c r="E285" s="270"/>
      <c r="F285" s="252">
        <v>159000000</v>
      </c>
      <c r="G285" s="252"/>
      <c r="H285" s="252"/>
      <c r="I285" s="252">
        <v>159000000</v>
      </c>
      <c r="J285" s="274">
        <v>100</v>
      </c>
      <c r="K285" s="252">
        <v>159000000</v>
      </c>
      <c r="L285" s="272"/>
      <c r="M285" s="272"/>
      <c r="N285" s="272"/>
      <c r="O285" s="272"/>
    </row>
    <row r="286" ht="14.75" customHeight="1" spans="1:15">
      <c r="A286" s="251"/>
      <c r="B286" s="247"/>
      <c r="C286" s="270"/>
      <c r="D286" s="270"/>
      <c r="E286" s="270"/>
      <c r="F286" s="252"/>
      <c r="G286" s="252"/>
      <c r="H286" s="252"/>
      <c r="I286" s="275"/>
      <c r="J286" s="274"/>
      <c r="K286" s="292"/>
      <c r="L286" s="272"/>
      <c r="M286" s="272"/>
      <c r="N286" s="272"/>
      <c r="O286" s="272"/>
    </row>
    <row r="287" ht="15.25" customHeight="1" spans="1:15">
      <c r="A287" s="246" t="s">
        <v>635</v>
      </c>
      <c r="B287" s="247" t="s">
        <v>636</v>
      </c>
      <c r="C287" s="270"/>
      <c r="D287" s="270"/>
      <c r="E287" s="270"/>
      <c r="F287" s="248">
        <f>F288</f>
        <v>40788000</v>
      </c>
      <c r="G287" s="248">
        <f t="shared" ref="G287:O287" si="126">G288</f>
        <v>0</v>
      </c>
      <c r="H287" s="248">
        <f t="shared" si="126"/>
        <v>0</v>
      </c>
      <c r="I287" s="248">
        <f t="shared" si="126"/>
        <v>0</v>
      </c>
      <c r="J287" s="248">
        <f t="shared" si="126"/>
        <v>400</v>
      </c>
      <c r="K287" s="248">
        <f t="shared" si="126"/>
        <v>0</v>
      </c>
      <c r="L287" s="248">
        <f t="shared" si="126"/>
        <v>0</v>
      </c>
      <c r="M287" s="248">
        <f t="shared" si="126"/>
        <v>0</v>
      </c>
      <c r="N287" s="248">
        <f t="shared" si="126"/>
        <v>0</v>
      </c>
      <c r="O287" s="248">
        <f t="shared" si="126"/>
        <v>0</v>
      </c>
    </row>
    <row r="288" ht="16.75" customHeight="1" spans="1:15">
      <c r="A288" s="246" t="s">
        <v>479</v>
      </c>
      <c r="B288" s="247" t="s">
        <v>197</v>
      </c>
      <c r="C288" s="270"/>
      <c r="D288" s="270"/>
      <c r="E288" s="270"/>
      <c r="F288" s="248">
        <f>F289</f>
        <v>40788000</v>
      </c>
      <c r="G288" s="248">
        <f t="shared" ref="G288:O288" si="127">G289</f>
        <v>0</v>
      </c>
      <c r="H288" s="248">
        <f t="shared" si="127"/>
        <v>0</v>
      </c>
      <c r="I288" s="248">
        <f t="shared" si="127"/>
        <v>0</v>
      </c>
      <c r="J288" s="248">
        <f t="shared" si="127"/>
        <v>400</v>
      </c>
      <c r="K288" s="248">
        <f t="shared" si="127"/>
        <v>0</v>
      </c>
      <c r="L288" s="248">
        <f t="shared" si="127"/>
        <v>0</v>
      </c>
      <c r="M288" s="248">
        <f t="shared" si="127"/>
        <v>0</v>
      </c>
      <c r="N288" s="248">
        <f t="shared" si="127"/>
        <v>0</v>
      </c>
      <c r="O288" s="248">
        <f t="shared" si="127"/>
        <v>0</v>
      </c>
    </row>
    <row r="289" ht="15.25" customHeight="1" spans="1:15">
      <c r="A289" s="249" t="s">
        <v>631</v>
      </c>
      <c r="B289" s="247" t="s">
        <v>612</v>
      </c>
      <c r="C289" s="270"/>
      <c r="D289" s="270"/>
      <c r="E289" s="270"/>
      <c r="F289" s="250">
        <f>SUM(F290:F294)</f>
        <v>40788000</v>
      </c>
      <c r="G289" s="250">
        <f t="shared" ref="G289:O289" si="128">SUM(G290:G294)</f>
        <v>0</v>
      </c>
      <c r="H289" s="250">
        <f t="shared" si="128"/>
        <v>0</v>
      </c>
      <c r="I289" s="250">
        <f t="shared" si="128"/>
        <v>0</v>
      </c>
      <c r="J289" s="250">
        <f t="shared" si="128"/>
        <v>400</v>
      </c>
      <c r="K289" s="250">
        <f t="shared" si="128"/>
        <v>0</v>
      </c>
      <c r="L289" s="250">
        <f t="shared" si="128"/>
        <v>0</v>
      </c>
      <c r="M289" s="250">
        <f t="shared" si="128"/>
        <v>0</v>
      </c>
      <c r="N289" s="250">
        <f t="shared" si="128"/>
        <v>0</v>
      </c>
      <c r="O289" s="250">
        <f t="shared" si="128"/>
        <v>0</v>
      </c>
    </row>
    <row r="290" ht="15.75" customHeight="1" spans="1:15">
      <c r="A290" s="251" t="s">
        <v>632</v>
      </c>
      <c r="B290" s="247" t="s">
        <v>623</v>
      </c>
      <c r="C290" s="270"/>
      <c r="D290" s="270"/>
      <c r="E290" s="270"/>
      <c r="F290" s="252">
        <v>1400000</v>
      </c>
      <c r="G290" s="252"/>
      <c r="H290" s="252"/>
      <c r="I290" s="252"/>
      <c r="J290" s="274">
        <v>100</v>
      </c>
      <c r="K290" s="280"/>
      <c r="L290" s="272"/>
      <c r="M290" s="272"/>
      <c r="N290" s="272"/>
      <c r="O290" s="272"/>
    </row>
    <row r="291" ht="15.75" customHeight="1" spans="1:15">
      <c r="A291" s="251" t="s">
        <v>613</v>
      </c>
      <c r="B291" s="247" t="s">
        <v>633</v>
      </c>
      <c r="C291" s="270"/>
      <c r="D291" s="270"/>
      <c r="E291" s="270"/>
      <c r="F291" s="252">
        <v>14405000</v>
      </c>
      <c r="G291" s="252"/>
      <c r="H291" s="252"/>
      <c r="I291" s="252"/>
      <c r="J291" s="274">
        <v>100</v>
      </c>
      <c r="K291" s="280"/>
      <c r="L291" s="272"/>
      <c r="M291" s="272"/>
      <c r="N291" s="272"/>
      <c r="O291" s="272"/>
    </row>
    <row r="292" ht="15.75" customHeight="1" spans="1:15">
      <c r="A292" s="251" t="s">
        <v>615</v>
      </c>
      <c r="B292" s="247" t="s">
        <v>634</v>
      </c>
      <c r="C292" s="270"/>
      <c r="D292" s="270"/>
      <c r="E292" s="270"/>
      <c r="F292" s="252">
        <v>24234000</v>
      </c>
      <c r="G292" s="252"/>
      <c r="H292" s="252"/>
      <c r="I292" s="252"/>
      <c r="J292" s="274">
        <v>100</v>
      </c>
      <c r="K292" s="280"/>
      <c r="L292" s="272"/>
      <c r="M292" s="272"/>
      <c r="N292" s="272"/>
      <c r="O292" s="272"/>
    </row>
    <row r="293" ht="15.75" customHeight="1" spans="1:15">
      <c r="A293" s="251" t="s">
        <v>625</v>
      </c>
      <c r="B293" s="247" t="s">
        <v>626</v>
      </c>
      <c r="C293" s="270"/>
      <c r="D293" s="270"/>
      <c r="E293" s="270"/>
      <c r="F293" s="252">
        <v>537000</v>
      </c>
      <c r="G293" s="252"/>
      <c r="H293" s="252"/>
      <c r="I293" s="252"/>
      <c r="J293" s="274"/>
      <c r="K293" s="280"/>
      <c r="L293" s="272"/>
      <c r="M293" s="272"/>
      <c r="N293" s="272"/>
      <c r="O293" s="272"/>
    </row>
    <row r="294" ht="15.75" customHeight="1" spans="1:15">
      <c r="A294" s="251" t="s">
        <v>637</v>
      </c>
      <c r="B294" s="247" t="s">
        <v>638</v>
      </c>
      <c r="C294" s="270"/>
      <c r="D294" s="270"/>
      <c r="E294" s="270"/>
      <c r="F294" s="252">
        <v>212000</v>
      </c>
      <c r="G294" s="252"/>
      <c r="H294" s="252"/>
      <c r="I294" s="252"/>
      <c r="J294" s="274">
        <v>100</v>
      </c>
      <c r="K294" s="280"/>
      <c r="L294" s="272"/>
      <c r="M294" s="272"/>
      <c r="N294" s="272"/>
      <c r="O294" s="272"/>
    </row>
    <row r="295" ht="15" customHeight="1" spans="1:16">
      <c r="A295" s="246" t="s">
        <v>639</v>
      </c>
      <c r="B295" s="297" t="s">
        <v>276</v>
      </c>
      <c r="C295" s="244"/>
      <c r="D295" s="244"/>
      <c r="E295" s="244"/>
      <c r="F295" s="318">
        <f>F296+F308+F315</f>
        <v>583954002</v>
      </c>
      <c r="G295" s="318">
        <f t="shared" ref="G295:O295" si="129">G296+G308+G315</f>
        <v>0</v>
      </c>
      <c r="H295" s="318">
        <f t="shared" si="129"/>
        <v>0</v>
      </c>
      <c r="I295" s="318">
        <f t="shared" si="129"/>
        <v>0</v>
      </c>
      <c r="J295" s="318">
        <f t="shared" si="129"/>
        <v>200</v>
      </c>
      <c r="K295" s="318">
        <f t="shared" si="129"/>
        <v>0</v>
      </c>
      <c r="L295" s="318">
        <f t="shared" si="129"/>
        <v>0</v>
      </c>
      <c r="M295" s="318">
        <f t="shared" si="129"/>
        <v>0</v>
      </c>
      <c r="N295" s="318">
        <f t="shared" si="129"/>
        <v>0</v>
      </c>
      <c r="O295" s="318">
        <f t="shared" si="129"/>
        <v>0</v>
      </c>
      <c r="P295" s="320"/>
    </row>
    <row r="296" ht="16" customHeight="1" spans="1:15">
      <c r="A296" s="246" t="s">
        <v>640</v>
      </c>
      <c r="B296" s="247" t="s">
        <v>641</v>
      </c>
      <c r="C296" s="244"/>
      <c r="D296" s="244"/>
      <c r="E296" s="244"/>
      <c r="F296" s="248">
        <f>F297</f>
        <v>240398550</v>
      </c>
      <c r="G296" s="248">
        <f t="shared" ref="G296:O296" si="130">G297</f>
        <v>0</v>
      </c>
      <c r="H296" s="248">
        <f t="shared" si="130"/>
        <v>0</v>
      </c>
      <c r="I296" s="248">
        <f t="shared" si="130"/>
        <v>0</v>
      </c>
      <c r="J296" s="248">
        <f t="shared" si="130"/>
        <v>100</v>
      </c>
      <c r="K296" s="248">
        <f t="shared" si="130"/>
        <v>0</v>
      </c>
      <c r="L296" s="248">
        <f t="shared" si="130"/>
        <v>0</v>
      </c>
      <c r="M296" s="248">
        <f t="shared" si="130"/>
        <v>0</v>
      </c>
      <c r="N296" s="248">
        <f t="shared" si="130"/>
        <v>0</v>
      </c>
      <c r="O296" s="248">
        <f t="shared" si="130"/>
        <v>0</v>
      </c>
    </row>
    <row r="297" ht="16.75" customHeight="1" spans="1:15">
      <c r="A297" s="246" t="s">
        <v>479</v>
      </c>
      <c r="B297" s="247" t="s">
        <v>197</v>
      </c>
      <c r="C297" s="244"/>
      <c r="D297" s="244"/>
      <c r="E297" s="244"/>
      <c r="F297" s="248">
        <f>F298+F300+F304</f>
        <v>240398550</v>
      </c>
      <c r="G297" s="248">
        <f t="shared" ref="G297:O297" si="131">G298+G300+G304</f>
        <v>0</v>
      </c>
      <c r="H297" s="248">
        <f t="shared" si="131"/>
        <v>0</v>
      </c>
      <c r="I297" s="248">
        <f t="shared" si="131"/>
        <v>0</v>
      </c>
      <c r="J297" s="248">
        <f t="shared" si="131"/>
        <v>100</v>
      </c>
      <c r="K297" s="248">
        <f t="shared" si="131"/>
        <v>0</v>
      </c>
      <c r="L297" s="248">
        <f t="shared" si="131"/>
        <v>0</v>
      </c>
      <c r="M297" s="248">
        <f t="shared" si="131"/>
        <v>0</v>
      </c>
      <c r="N297" s="248">
        <f t="shared" si="131"/>
        <v>0</v>
      </c>
      <c r="O297" s="248">
        <f t="shared" si="131"/>
        <v>0</v>
      </c>
    </row>
    <row r="298" ht="15.5" customHeight="1" spans="1:15">
      <c r="A298" s="249" t="s">
        <v>489</v>
      </c>
      <c r="B298" s="247" t="s">
        <v>490</v>
      </c>
      <c r="C298" s="244"/>
      <c r="D298" s="244"/>
      <c r="E298" s="244"/>
      <c r="F298" s="250">
        <f>SUM(F299:F299)</f>
        <v>4379000</v>
      </c>
      <c r="G298" s="250">
        <f t="shared" ref="G298:O298" si="132">SUM(G299:G299)</f>
        <v>0</v>
      </c>
      <c r="H298" s="250">
        <f t="shared" si="132"/>
        <v>0</v>
      </c>
      <c r="I298" s="250">
        <f t="shared" si="132"/>
        <v>0</v>
      </c>
      <c r="J298" s="250">
        <f t="shared" si="132"/>
        <v>100</v>
      </c>
      <c r="K298" s="250">
        <f t="shared" si="132"/>
        <v>0</v>
      </c>
      <c r="L298" s="250">
        <f t="shared" si="132"/>
        <v>0</v>
      </c>
      <c r="M298" s="250">
        <f t="shared" si="132"/>
        <v>0</v>
      </c>
      <c r="N298" s="250">
        <f t="shared" si="132"/>
        <v>0</v>
      </c>
      <c r="O298" s="250">
        <f t="shared" si="132"/>
        <v>0</v>
      </c>
    </row>
    <row r="299" ht="15.75" customHeight="1" spans="1:15">
      <c r="A299" s="251" t="s">
        <v>610</v>
      </c>
      <c r="B299" s="242" t="s">
        <v>642</v>
      </c>
      <c r="C299" s="244"/>
      <c r="D299" s="244"/>
      <c r="E299" s="244"/>
      <c r="F299" s="252">
        <v>4379000</v>
      </c>
      <c r="G299" s="252"/>
      <c r="H299" s="252"/>
      <c r="I299" s="252"/>
      <c r="J299" s="274">
        <v>100</v>
      </c>
      <c r="K299" s="292"/>
      <c r="L299" s="272"/>
      <c r="M299" s="272"/>
      <c r="N299" s="272"/>
      <c r="O299" s="302"/>
    </row>
    <row r="300" ht="15.5" customHeight="1" spans="1:15">
      <c r="A300" s="246" t="s">
        <v>605</v>
      </c>
      <c r="B300" s="247" t="s">
        <v>612</v>
      </c>
      <c r="C300" s="244"/>
      <c r="D300" s="244"/>
      <c r="E300" s="244"/>
      <c r="F300" s="248">
        <f>SUM(F301:F303)</f>
        <v>209179550</v>
      </c>
      <c r="G300" s="248">
        <f t="shared" ref="G300:O300" si="133">SUM(G301:G303)</f>
        <v>0</v>
      </c>
      <c r="H300" s="248">
        <f t="shared" si="133"/>
        <v>0</v>
      </c>
      <c r="I300" s="248">
        <f t="shared" si="133"/>
        <v>0</v>
      </c>
      <c r="J300" s="248">
        <f t="shared" si="133"/>
        <v>0</v>
      </c>
      <c r="K300" s="248">
        <f t="shared" si="133"/>
        <v>0</v>
      </c>
      <c r="L300" s="248">
        <f t="shared" si="133"/>
        <v>0</v>
      </c>
      <c r="M300" s="248">
        <f t="shared" si="133"/>
        <v>0</v>
      </c>
      <c r="N300" s="248">
        <f t="shared" si="133"/>
        <v>0</v>
      </c>
      <c r="O300" s="248">
        <f t="shared" si="133"/>
        <v>0</v>
      </c>
    </row>
    <row r="301" ht="15.5" customHeight="1" spans="1:15">
      <c r="A301" s="246" t="s">
        <v>607</v>
      </c>
      <c r="B301" s="247" t="s">
        <v>614</v>
      </c>
      <c r="C301" s="244"/>
      <c r="D301" s="244"/>
      <c r="E301" s="244"/>
      <c r="F301" s="252">
        <v>53385000</v>
      </c>
      <c r="G301" s="248"/>
      <c r="H301" s="248"/>
      <c r="I301" s="248"/>
      <c r="J301" s="248"/>
      <c r="K301" s="276"/>
      <c r="L301" s="277"/>
      <c r="M301" s="277"/>
      <c r="N301" s="277"/>
      <c r="O301" s="277"/>
    </row>
    <row r="302" ht="15.5" customHeight="1" spans="1:15">
      <c r="A302" s="246" t="s">
        <v>624</v>
      </c>
      <c r="B302" s="247" t="s">
        <v>643</v>
      </c>
      <c r="C302" s="244"/>
      <c r="D302" s="244"/>
      <c r="E302" s="244"/>
      <c r="F302" s="252">
        <v>154994550</v>
      </c>
      <c r="G302" s="248"/>
      <c r="H302" s="248"/>
      <c r="I302" s="248"/>
      <c r="J302" s="248"/>
      <c r="K302" s="276"/>
      <c r="L302" s="277"/>
      <c r="M302" s="277"/>
      <c r="N302" s="277"/>
      <c r="O302" s="277"/>
    </row>
    <row r="303" ht="15.5" customHeight="1" spans="1:15">
      <c r="A303" s="246" t="s">
        <v>625</v>
      </c>
      <c r="B303" s="247" t="s">
        <v>626</v>
      </c>
      <c r="C303" s="244"/>
      <c r="D303" s="244"/>
      <c r="E303" s="244"/>
      <c r="F303" s="252">
        <v>800000</v>
      </c>
      <c r="G303" s="248"/>
      <c r="H303" s="248"/>
      <c r="I303" s="248"/>
      <c r="J303" s="248"/>
      <c r="K303" s="276"/>
      <c r="L303" s="277"/>
      <c r="M303" s="277"/>
      <c r="N303" s="277"/>
      <c r="O303" s="277"/>
    </row>
    <row r="304" ht="15.5" customHeight="1" spans="1:15">
      <c r="A304" s="246" t="s">
        <v>644</v>
      </c>
      <c r="B304" s="247" t="s">
        <v>645</v>
      </c>
      <c r="C304" s="244"/>
      <c r="D304" s="244"/>
      <c r="E304" s="244"/>
      <c r="F304" s="248">
        <f>F305+F306</f>
        <v>26840000</v>
      </c>
      <c r="G304" s="248">
        <f t="shared" ref="G304:O304" si="134">G305+G306</f>
        <v>0</v>
      </c>
      <c r="H304" s="248">
        <f t="shared" si="134"/>
        <v>0</v>
      </c>
      <c r="I304" s="248">
        <f t="shared" si="134"/>
        <v>0</v>
      </c>
      <c r="J304" s="248">
        <f t="shared" si="134"/>
        <v>0</v>
      </c>
      <c r="K304" s="248">
        <f t="shared" si="134"/>
        <v>0</v>
      </c>
      <c r="L304" s="248">
        <f t="shared" si="134"/>
        <v>0</v>
      </c>
      <c r="M304" s="248">
        <f t="shared" si="134"/>
        <v>0</v>
      </c>
      <c r="N304" s="248">
        <f t="shared" si="134"/>
        <v>0</v>
      </c>
      <c r="O304" s="248">
        <f t="shared" si="134"/>
        <v>0</v>
      </c>
    </row>
    <row r="305" ht="15.5" customHeight="1" spans="1:15">
      <c r="A305" s="246" t="s">
        <v>646</v>
      </c>
      <c r="B305" s="247" t="s">
        <v>647</v>
      </c>
      <c r="C305" s="244"/>
      <c r="D305" s="244"/>
      <c r="E305" s="244"/>
      <c r="F305" s="252">
        <v>8840000</v>
      </c>
      <c r="G305" s="248"/>
      <c r="H305" s="248"/>
      <c r="I305" s="248"/>
      <c r="J305" s="248"/>
      <c r="K305" s="276"/>
      <c r="L305" s="277"/>
      <c r="M305" s="277"/>
      <c r="N305" s="277"/>
      <c r="O305" s="277"/>
    </row>
    <row r="306" ht="15.5" customHeight="1" spans="1:15">
      <c r="A306" s="246" t="s">
        <v>648</v>
      </c>
      <c r="B306" s="247" t="s">
        <v>649</v>
      </c>
      <c r="C306" s="244"/>
      <c r="D306" s="244"/>
      <c r="E306" s="244"/>
      <c r="F306" s="252">
        <v>18000000</v>
      </c>
      <c r="G306" s="248"/>
      <c r="H306" s="248"/>
      <c r="I306" s="248"/>
      <c r="J306" s="248"/>
      <c r="K306" s="276"/>
      <c r="L306" s="277"/>
      <c r="M306" s="277"/>
      <c r="N306" s="277"/>
      <c r="O306" s="277"/>
    </row>
    <row r="307" ht="15.5" customHeight="1" spans="1:15">
      <c r="A307" s="246"/>
      <c r="B307" s="247"/>
      <c r="C307" s="244"/>
      <c r="D307" s="244"/>
      <c r="E307" s="244"/>
      <c r="F307" s="248"/>
      <c r="G307" s="248"/>
      <c r="H307" s="248"/>
      <c r="I307" s="248"/>
      <c r="J307" s="248"/>
      <c r="K307" s="276"/>
      <c r="L307" s="277"/>
      <c r="M307" s="277"/>
      <c r="N307" s="277"/>
      <c r="O307" s="277"/>
    </row>
    <row r="308" s="223" customFormat="1" ht="15.5" customHeight="1" spans="1:15">
      <c r="A308" s="246" t="s">
        <v>650</v>
      </c>
      <c r="B308" s="266" t="s">
        <v>651</v>
      </c>
      <c r="C308" s="316"/>
      <c r="D308" s="316"/>
      <c r="E308" s="316"/>
      <c r="F308" s="248">
        <f>F309</f>
        <v>100960000</v>
      </c>
      <c r="G308" s="248">
        <f t="shared" ref="G308:O308" si="135">G309</f>
        <v>0</v>
      </c>
      <c r="H308" s="248">
        <f t="shared" si="135"/>
        <v>0</v>
      </c>
      <c r="I308" s="248">
        <f t="shared" si="135"/>
        <v>0</v>
      </c>
      <c r="J308" s="248">
        <f t="shared" si="135"/>
        <v>100</v>
      </c>
      <c r="K308" s="248">
        <f t="shared" si="135"/>
        <v>0</v>
      </c>
      <c r="L308" s="248">
        <f t="shared" si="135"/>
        <v>0</v>
      </c>
      <c r="M308" s="248">
        <f t="shared" si="135"/>
        <v>0</v>
      </c>
      <c r="N308" s="248">
        <f t="shared" si="135"/>
        <v>0</v>
      </c>
      <c r="O308" s="248">
        <f t="shared" si="135"/>
        <v>0</v>
      </c>
    </row>
    <row r="309" s="223" customFormat="1" ht="16.75" customHeight="1" spans="1:15">
      <c r="A309" s="246" t="s">
        <v>619</v>
      </c>
      <c r="B309" s="266" t="s">
        <v>197</v>
      </c>
      <c r="C309" s="316"/>
      <c r="D309" s="316"/>
      <c r="E309" s="316"/>
      <c r="F309" s="248">
        <f>F310</f>
        <v>100960000</v>
      </c>
      <c r="G309" s="248">
        <f t="shared" ref="G309:O309" si="136">G310</f>
        <v>0</v>
      </c>
      <c r="H309" s="248">
        <f t="shared" si="136"/>
        <v>0</v>
      </c>
      <c r="I309" s="248">
        <f t="shared" si="136"/>
        <v>0</v>
      </c>
      <c r="J309" s="248">
        <f t="shared" si="136"/>
        <v>100</v>
      </c>
      <c r="K309" s="248">
        <f t="shared" si="136"/>
        <v>0</v>
      </c>
      <c r="L309" s="248">
        <f t="shared" si="136"/>
        <v>0</v>
      </c>
      <c r="M309" s="248">
        <f t="shared" si="136"/>
        <v>0</v>
      </c>
      <c r="N309" s="248">
        <f t="shared" si="136"/>
        <v>0</v>
      </c>
      <c r="O309" s="248">
        <f t="shared" si="136"/>
        <v>0</v>
      </c>
    </row>
    <row r="310" s="223" customFormat="1" ht="15.5" customHeight="1" spans="1:15">
      <c r="A310" s="249" t="s">
        <v>489</v>
      </c>
      <c r="B310" s="266" t="s">
        <v>490</v>
      </c>
      <c r="C310" s="316"/>
      <c r="D310" s="316"/>
      <c r="E310" s="316"/>
      <c r="F310" s="250">
        <f>SUM(F311:F312)</f>
        <v>100960000</v>
      </c>
      <c r="G310" s="250">
        <f t="shared" ref="G310:O310" si="137">SUM(G311:G312)</f>
        <v>0</v>
      </c>
      <c r="H310" s="250">
        <f t="shared" si="137"/>
        <v>0</v>
      </c>
      <c r="I310" s="250">
        <f t="shared" si="137"/>
        <v>0</v>
      </c>
      <c r="J310" s="250">
        <f t="shared" si="137"/>
        <v>100</v>
      </c>
      <c r="K310" s="250">
        <f t="shared" si="137"/>
        <v>0</v>
      </c>
      <c r="L310" s="250">
        <f t="shared" si="137"/>
        <v>0</v>
      </c>
      <c r="M310" s="250">
        <f t="shared" si="137"/>
        <v>0</v>
      </c>
      <c r="N310" s="250">
        <f t="shared" si="137"/>
        <v>0</v>
      </c>
      <c r="O310" s="250">
        <f t="shared" si="137"/>
        <v>0</v>
      </c>
    </row>
    <row r="311" ht="15.75" customHeight="1" spans="1:15">
      <c r="A311" s="251" t="s">
        <v>489</v>
      </c>
      <c r="B311" s="242" t="s">
        <v>652</v>
      </c>
      <c r="C311" s="244"/>
      <c r="D311" s="244"/>
      <c r="E311" s="244"/>
      <c r="F311" s="252">
        <v>265000</v>
      </c>
      <c r="G311" s="252"/>
      <c r="H311" s="252"/>
      <c r="I311" s="252"/>
      <c r="J311" s="274">
        <v>100</v>
      </c>
      <c r="K311" s="292"/>
      <c r="L311" s="272"/>
      <c r="M311" s="272"/>
      <c r="N311" s="272"/>
      <c r="O311" s="302"/>
    </row>
    <row r="312" s="223" customFormat="1" ht="16" customHeight="1" spans="1:15">
      <c r="A312" s="246" t="s">
        <v>471</v>
      </c>
      <c r="B312" s="263" t="s">
        <v>653</v>
      </c>
      <c r="C312" s="316"/>
      <c r="D312" s="316"/>
      <c r="E312" s="316"/>
      <c r="F312" s="248">
        <f>SUM(F313:F314)</f>
        <v>100695000</v>
      </c>
      <c r="G312" s="248">
        <f t="shared" ref="G312:O312" si="138">SUM(G313:G314)</f>
        <v>0</v>
      </c>
      <c r="H312" s="248">
        <f t="shared" si="138"/>
        <v>0</v>
      </c>
      <c r="I312" s="248">
        <f t="shared" si="138"/>
        <v>0</v>
      </c>
      <c r="J312" s="248">
        <f t="shared" si="138"/>
        <v>0</v>
      </c>
      <c r="K312" s="248">
        <f t="shared" si="138"/>
        <v>0</v>
      </c>
      <c r="L312" s="248">
        <f t="shared" si="138"/>
        <v>0</v>
      </c>
      <c r="M312" s="248">
        <f t="shared" si="138"/>
        <v>0</v>
      </c>
      <c r="N312" s="248">
        <f t="shared" si="138"/>
        <v>0</v>
      </c>
      <c r="O312" s="248">
        <f t="shared" si="138"/>
        <v>0</v>
      </c>
    </row>
    <row r="313" ht="16.5" customHeight="1" spans="1:15">
      <c r="A313" s="265" t="s">
        <v>473</v>
      </c>
      <c r="B313" s="247" t="s">
        <v>654</v>
      </c>
      <c r="C313" s="244"/>
      <c r="D313" s="244"/>
      <c r="E313" s="244"/>
      <c r="F313" s="252">
        <v>23675000</v>
      </c>
      <c r="G313" s="248"/>
      <c r="H313" s="248"/>
      <c r="I313" s="248"/>
      <c r="J313" s="248"/>
      <c r="K313" s="276"/>
      <c r="L313" s="277"/>
      <c r="M313" s="277"/>
      <c r="N313" s="277"/>
      <c r="O313" s="277"/>
    </row>
    <row r="314" ht="16.5" customHeight="1" spans="1:15">
      <c r="A314" s="265" t="s">
        <v>475</v>
      </c>
      <c r="B314" s="247" t="s">
        <v>655</v>
      </c>
      <c r="C314" s="244"/>
      <c r="D314" s="244"/>
      <c r="E314" s="244"/>
      <c r="F314" s="252">
        <v>77020000</v>
      </c>
      <c r="G314" s="248"/>
      <c r="H314" s="248"/>
      <c r="I314" s="248"/>
      <c r="J314" s="248"/>
      <c r="K314" s="276"/>
      <c r="L314" s="277"/>
      <c r="M314" s="277"/>
      <c r="N314" s="277"/>
      <c r="O314" s="277"/>
    </row>
    <row r="315" s="223" customFormat="1" ht="16.5" customHeight="1" spans="1:15">
      <c r="A315" s="265" t="s">
        <v>656</v>
      </c>
      <c r="B315" s="266" t="s">
        <v>657</v>
      </c>
      <c r="C315" s="316"/>
      <c r="D315" s="316"/>
      <c r="E315" s="316"/>
      <c r="F315" s="248">
        <f>F316</f>
        <v>242595452</v>
      </c>
      <c r="G315" s="248">
        <f t="shared" ref="G315:O315" si="139">G316</f>
        <v>0</v>
      </c>
      <c r="H315" s="248">
        <f t="shared" si="139"/>
        <v>0</v>
      </c>
      <c r="I315" s="248">
        <f t="shared" si="139"/>
        <v>0</v>
      </c>
      <c r="J315" s="248">
        <f t="shared" si="139"/>
        <v>0</v>
      </c>
      <c r="K315" s="248">
        <f t="shared" si="139"/>
        <v>0</v>
      </c>
      <c r="L315" s="248">
        <f t="shared" si="139"/>
        <v>0</v>
      </c>
      <c r="M315" s="248">
        <f t="shared" si="139"/>
        <v>0</v>
      </c>
      <c r="N315" s="248">
        <f t="shared" si="139"/>
        <v>0</v>
      </c>
      <c r="O315" s="248">
        <f t="shared" si="139"/>
        <v>0</v>
      </c>
    </row>
    <row r="316" s="223" customFormat="1" ht="16.5" customHeight="1" spans="1:15">
      <c r="A316" s="265" t="s">
        <v>658</v>
      </c>
      <c r="B316" s="266" t="s">
        <v>197</v>
      </c>
      <c r="C316" s="316"/>
      <c r="D316" s="316"/>
      <c r="E316" s="316"/>
      <c r="F316" s="248">
        <f>F317+F319+F322+F325</f>
        <v>242595452</v>
      </c>
      <c r="G316" s="248">
        <f t="shared" ref="G316:O316" si="140">G317+G319+G322+G325</f>
        <v>0</v>
      </c>
      <c r="H316" s="248">
        <f t="shared" si="140"/>
        <v>0</v>
      </c>
      <c r="I316" s="248">
        <f t="shared" si="140"/>
        <v>0</v>
      </c>
      <c r="J316" s="248">
        <f t="shared" si="140"/>
        <v>0</v>
      </c>
      <c r="K316" s="248">
        <f t="shared" si="140"/>
        <v>0</v>
      </c>
      <c r="L316" s="248">
        <f t="shared" si="140"/>
        <v>0</v>
      </c>
      <c r="M316" s="248">
        <f t="shared" si="140"/>
        <v>0</v>
      </c>
      <c r="N316" s="248">
        <f t="shared" si="140"/>
        <v>0</v>
      </c>
      <c r="O316" s="248">
        <f t="shared" si="140"/>
        <v>0</v>
      </c>
    </row>
    <row r="317" s="223" customFormat="1" ht="16.5" customHeight="1" spans="1:15">
      <c r="A317" s="265" t="s">
        <v>489</v>
      </c>
      <c r="B317" s="266" t="s">
        <v>490</v>
      </c>
      <c r="C317" s="316"/>
      <c r="D317" s="316"/>
      <c r="E317" s="316"/>
      <c r="F317" s="248">
        <f>F318</f>
        <v>150000</v>
      </c>
      <c r="G317" s="248">
        <f t="shared" ref="G317:O317" si="141">G318</f>
        <v>0</v>
      </c>
      <c r="H317" s="248">
        <f t="shared" si="141"/>
        <v>0</v>
      </c>
      <c r="I317" s="248">
        <f t="shared" si="141"/>
        <v>0</v>
      </c>
      <c r="J317" s="248">
        <f t="shared" si="141"/>
        <v>0</v>
      </c>
      <c r="K317" s="248">
        <f t="shared" si="141"/>
        <v>0</v>
      </c>
      <c r="L317" s="248">
        <f t="shared" si="141"/>
        <v>0</v>
      </c>
      <c r="M317" s="248">
        <f t="shared" si="141"/>
        <v>0</v>
      </c>
      <c r="N317" s="248">
        <f t="shared" si="141"/>
        <v>0</v>
      </c>
      <c r="O317" s="248">
        <f t="shared" si="141"/>
        <v>0</v>
      </c>
    </row>
    <row r="318" ht="16.5" customHeight="1" spans="1:15">
      <c r="A318" s="265" t="s">
        <v>610</v>
      </c>
      <c r="B318" s="247" t="s">
        <v>659</v>
      </c>
      <c r="C318" s="244"/>
      <c r="D318" s="244"/>
      <c r="E318" s="244"/>
      <c r="F318" s="252">
        <v>150000</v>
      </c>
      <c r="G318" s="248"/>
      <c r="H318" s="248"/>
      <c r="I318" s="248"/>
      <c r="J318" s="248"/>
      <c r="K318" s="276"/>
      <c r="L318" s="277"/>
      <c r="M318" s="277"/>
      <c r="N318" s="277"/>
      <c r="O318" s="277"/>
    </row>
    <row r="319" s="223" customFormat="1" ht="16.5" customHeight="1" spans="1:15">
      <c r="A319" s="265" t="s">
        <v>471</v>
      </c>
      <c r="B319" s="266" t="s">
        <v>472</v>
      </c>
      <c r="C319" s="316"/>
      <c r="D319" s="316"/>
      <c r="E319" s="316"/>
      <c r="F319" s="248">
        <f>F320+F321</f>
        <v>100459000</v>
      </c>
      <c r="G319" s="248">
        <f t="shared" ref="G319:O319" si="142">G320+G321</f>
        <v>0</v>
      </c>
      <c r="H319" s="248">
        <f t="shared" si="142"/>
        <v>0</v>
      </c>
      <c r="I319" s="248">
        <f t="shared" si="142"/>
        <v>0</v>
      </c>
      <c r="J319" s="248">
        <f t="shared" si="142"/>
        <v>0</v>
      </c>
      <c r="K319" s="248">
        <f t="shared" si="142"/>
        <v>0</v>
      </c>
      <c r="L319" s="248">
        <f t="shared" si="142"/>
        <v>0</v>
      </c>
      <c r="M319" s="248">
        <f t="shared" si="142"/>
        <v>0</v>
      </c>
      <c r="N319" s="248">
        <f t="shared" si="142"/>
        <v>0</v>
      </c>
      <c r="O319" s="248">
        <f t="shared" si="142"/>
        <v>0</v>
      </c>
    </row>
    <row r="320" ht="16.5" customHeight="1" spans="1:15">
      <c r="A320" s="265" t="s">
        <v>473</v>
      </c>
      <c r="B320" s="247" t="s">
        <v>654</v>
      </c>
      <c r="C320" s="244"/>
      <c r="D320" s="244"/>
      <c r="E320" s="244"/>
      <c r="F320" s="252">
        <v>31220000</v>
      </c>
      <c r="G320" s="248"/>
      <c r="H320" s="248"/>
      <c r="I320" s="248"/>
      <c r="J320" s="248"/>
      <c r="K320" s="276"/>
      <c r="L320" s="277"/>
      <c r="M320" s="277"/>
      <c r="N320" s="277"/>
      <c r="O320" s="277"/>
    </row>
    <row r="321" s="224" customFormat="1" ht="16.5" customHeight="1" spans="1:15">
      <c r="A321" s="321" t="s">
        <v>475</v>
      </c>
      <c r="B321" s="247" t="s">
        <v>655</v>
      </c>
      <c r="C321" s="322"/>
      <c r="D321" s="322"/>
      <c r="E321" s="322"/>
      <c r="F321" s="252">
        <v>69239000</v>
      </c>
      <c r="G321" s="252"/>
      <c r="H321" s="252"/>
      <c r="I321" s="252"/>
      <c r="J321" s="252"/>
      <c r="K321" s="280"/>
      <c r="L321" s="302"/>
      <c r="M321" s="302"/>
      <c r="N321" s="302"/>
      <c r="O321" s="302"/>
    </row>
    <row r="322" s="223" customFormat="1" ht="16.5" customHeight="1" spans="1:15">
      <c r="A322" s="265" t="s">
        <v>660</v>
      </c>
      <c r="B322" s="266" t="s">
        <v>661</v>
      </c>
      <c r="C322" s="316"/>
      <c r="D322" s="316"/>
      <c r="E322" s="316"/>
      <c r="F322" s="248">
        <f>SUM(F323:F324)</f>
        <v>13345452</v>
      </c>
      <c r="G322" s="248">
        <f t="shared" ref="G322:O322" si="143">SUM(G323:G324)</f>
        <v>0</v>
      </c>
      <c r="H322" s="248">
        <f t="shared" si="143"/>
        <v>0</v>
      </c>
      <c r="I322" s="248">
        <f t="shared" si="143"/>
        <v>0</v>
      </c>
      <c r="J322" s="248">
        <f t="shared" si="143"/>
        <v>0</v>
      </c>
      <c r="K322" s="248">
        <f t="shared" si="143"/>
        <v>0</v>
      </c>
      <c r="L322" s="248">
        <f t="shared" si="143"/>
        <v>0</v>
      </c>
      <c r="M322" s="248">
        <f t="shared" si="143"/>
        <v>0</v>
      </c>
      <c r="N322" s="248">
        <f t="shared" si="143"/>
        <v>0</v>
      </c>
      <c r="O322" s="248">
        <f t="shared" si="143"/>
        <v>0</v>
      </c>
    </row>
    <row r="323" ht="16.5" customHeight="1" spans="1:15">
      <c r="A323" s="265" t="s">
        <v>662</v>
      </c>
      <c r="B323" s="247" t="s">
        <v>663</v>
      </c>
      <c r="C323" s="244"/>
      <c r="D323" s="244"/>
      <c r="E323" s="244"/>
      <c r="F323" s="252">
        <v>800000</v>
      </c>
      <c r="G323" s="248"/>
      <c r="H323" s="248"/>
      <c r="I323" s="248"/>
      <c r="J323" s="248"/>
      <c r="K323" s="276"/>
      <c r="L323" s="277"/>
      <c r="M323" s="277"/>
      <c r="N323" s="277"/>
      <c r="O323" s="277"/>
    </row>
    <row r="324" ht="16.5" customHeight="1" spans="1:15">
      <c r="A324" s="265" t="s">
        <v>664</v>
      </c>
      <c r="B324" s="247" t="s">
        <v>665</v>
      </c>
      <c r="C324" s="244"/>
      <c r="D324" s="244"/>
      <c r="E324" s="244"/>
      <c r="F324" s="252">
        <v>12545452</v>
      </c>
      <c r="G324" s="248"/>
      <c r="H324" s="248"/>
      <c r="I324" s="248"/>
      <c r="J324" s="248"/>
      <c r="K324" s="276"/>
      <c r="L324" s="277"/>
      <c r="M324" s="277"/>
      <c r="N324" s="277"/>
      <c r="O324" s="277"/>
    </row>
    <row r="325" s="223" customFormat="1" ht="16.5" customHeight="1" spans="1:15">
      <c r="A325" s="265" t="s">
        <v>666</v>
      </c>
      <c r="B325" s="266" t="s">
        <v>667</v>
      </c>
      <c r="C325" s="316"/>
      <c r="D325" s="316"/>
      <c r="E325" s="316"/>
      <c r="F325" s="248">
        <f>F326</f>
        <v>128641000</v>
      </c>
      <c r="G325" s="248">
        <f t="shared" ref="G325:O325" si="144">G326</f>
        <v>0</v>
      </c>
      <c r="H325" s="248">
        <f t="shared" si="144"/>
        <v>0</v>
      </c>
      <c r="I325" s="248">
        <f t="shared" si="144"/>
        <v>0</v>
      </c>
      <c r="J325" s="248">
        <f t="shared" si="144"/>
        <v>0</v>
      </c>
      <c r="K325" s="248">
        <f t="shared" si="144"/>
        <v>0</v>
      </c>
      <c r="L325" s="248">
        <f t="shared" si="144"/>
        <v>0</v>
      </c>
      <c r="M325" s="248">
        <f t="shared" si="144"/>
        <v>0</v>
      </c>
      <c r="N325" s="248">
        <f t="shared" si="144"/>
        <v>0</v>
      </c>
      <c r="O325" s="248">
        <f t="shared" si="144"/>
        <v>0</v>
      </c>
    </row>
    <row r="326" ht="16.5" customHeight="1" spans="1:15">
      <c r="A326" s="265" t="s">
        <v>668</v>
      </c>
      <c r="B326" s="247" t="s">
        <v>669</v>
      </c>
      <c r="C326" s="244"/>
      <c r="D326" s="244"/>
      <c r="E326" s="244"/>
      <c r="F326" s="252">
        <v>128641000</v>
      </c>
      <c r="G326" s="248"/>
      <c r="H326" s="248"/>
      <c r="I326" s="248"/>
      <c r="J326" s="248"/>
      <c r="K326" s="276"/>
      <c r="L326" s="277"/>
      <c r="M326" s="277"/>
      <c r="N326" s="277"/>
      <c r="O326" s="277"/>
    </row>
    <row r="327" ht="16.5" customHeight="1" spans="1:15">
      <c r="A327" s="265"/>
      <c r="B327" s="247"/>
      <c r="C327" s="244"/>
      <c r="D327" s="244"/>
      <c r="E327" s="244"/>
      <c r="F327" s="248"/>
      <c r="G327" s="248"/>
      <c r="H327" s="248"/>
      <c r="I327" s="248"/>
      <c r="J327" s="248"/>
      <c r="K327" s="276"/>
      <c r="L327" s="277"/>
      <c r="M327" s="277"/>
      <c r="N327" s="277"/>
      <c r="O327" s="277"/>
    </row>
    <row r="328" s="223" customFormat="1" ht="16.5" customHeight="1" spans="1:15">
      <c r="A328" s="265">
        <v>3</v>
      </c>
      <c r="B328" s="266" t="s">
        <v>670</v>
      </c>
      <c r="C328" s="316"/>
      <c r="D328" s="316"/>
      <c r="E328" s="316"/>
      <c r="F328" s="248">
        <f>F329+F350+F365</f>
        <v>127807099</v>
      </c>
      <c r="G328" s="248">
        <f t="shared" ref="G328:O328" si="145">G329+G350+G365</f>
        <v>0</v>
      </c>
      <c r="H328" s="248">
        <f t="shared" si="145"/>
        <v>0</v>
      </c>
      <c r="I328" s="248">
        <f t="shared" si="145"/>
        <v>127807099</v>
      </c>
      <c r="J328" s="248">
        <f t="shared" si="145"/>
        <v>200</v>
      </c>
      <c r="K328" s="248">
        <f t="shared" si="145"/>
        <v>0</v>
      </c>
      <c r="L328" s="248">
        <f t="shared" si="145"/>
        <v>4275000</v>
      </c>
      <c r="M328" s="248">
        <f t="shared" si="145"/>
        <v>0</v>
      </c>
      <c r="N328" s="248">
        <f t="shared" si="145"/>
        <v>123532099</v>
      </c>
      <c r="O328" s="248">
        <f t="shared" si="145"/>
        <v>0</v>
      </c>
    </row>
    <row r="329" ht="15.75" customHeight="1" spans="1:15">
      <c r="A329" s="246" t="s">
        <v>671</v>
      </c>
      <c r="B329" s="297" t="s">
        <v>672</v>
      </c>
      <c r="C329" s="248"/>
      <c r="D329" s="244"/>
      <c r="E329" s="244"/>
      <c r="F329" s="248">
        <f>F330+F334+F344</f>
        <v>116045999</v>
      </c>
      <c r="G329" s="248">
        <f t="shared" ref="G329:O329" si="146">G330+G334+G344</f>
        <v>0</v>
      </c>
      <c r="H329" s="248">
        <f t="shared" si="146"/>
        <v>0</v>
      </c>
      <c r="I329" s="248">
        <f t="shared" si="146"/>
        <v>116045999</v>
      </c>
      <c r="J329" s="248">
        <f t="shared" si="146"/>
        <v>200</v>
      </c>
      <c r="K329" s="248">
        <f t="shared" si="146"/>
        <v>0</v>
      </c>
      <c r="L329" s="248">
        <f t="shared" si="146"/>
        <v>0</v>
      </c>
      <c r="M329" s="248">
        <f t="shared" si="146"/>
        <v>0</v>
      </c>
      <c r="N329" s="248">
        <f t="shared" si="146"/>
        <v>116045999</v>
      </c>
      <c r="O329" s="248">
        <f t="shared" si="146"/>
        <v>0</v>
      </c>
    </row>
    <row r="330" ht="16" customHeight="1" spans="1:15">
      <c r="A330" s="246" t="s">
        <v>673</v>
      </c>
      <c r="B330" s="247" t="s">
        <v>674</v>
      </c>
      <c r="C330" s="244"/>
      <c r="D330" s="244"/>
      <c r="E330" s="244"/>
      <c r="F330" s="248">
        <f>F331</f>
        <v>10000000</v>
      </c>
      <c r="G330" s="248">
        <f t="shared" ref="G330:O330" si="147">G331</f>
        <v>0</v>
      </c>
      <c r="H330" s="248">
        <f t="shared" si="147"/>
        <v>0</v>
      </c>
      <c r="I330" s="248">
        <f t="shared" si="147"/>
        <v>10000000</v>
      </c>
      <c r="J330" s="248">
        <f t="shared" si="147"/>
        <v>100</v>
      </c>
      <c r="K330" s="248">
        <f t="shared" si="147"/>
        <v>0</v>
      </c>
      <c r="L330" s="248">
        <f t="shared" si="147"/>
        <v>0</v>
      </c>
      <c r="M330" s="248">
        <f t="shared" si="147"/>
        <v>0</v>
      </c>
      <c r="N330" s="248">
        <f t="shared" si="147"/>
        <v>10000000</v>
      </c>
      <c r="O330" s="248">
        <f t="shared" si="147"/>
        <v>0</v>
      </c>
    </row>
    <row r="331" ht="16.75" customHeight="1" spans="1:15">
      <c r="A331" s="246" t="s">
        <v>411</v>
      </c>
      <c r="B331" s="247" t="s">
        <v>412</v>
      </c>
      <c r="C331" s="244"/>
      <c r="D331" s="244"/>
      <c r="E331" s="244"/>
      <c r="F331" s="248">
        <f>F332</f>
        <v>10000000</v>
      </c>
      <c r="G331" s="248">
        <f t="shared" ref="G331:O331" si="148">G332</f>
        <v>0</v>
      </c>
      <c r="H331" s="248">
        <f t="shared" si="148"/>
        <v>0</v>
      </c>
      <c r="I331" s="248">
        <f t="shared" si="148"/>
        <v>10000000</v>
      </c>
      <c r="J331" s="248">
        <f t="shared" si="148"/>
        <v>100</v>
      </c>
      <c r="K331" s="248">
        <f t="shared" si="148"/>
        <v>0</v>
      </c>
      <c r="L331" s="248">
        <f t="shared" si="148"/>
        <v>0</v>
      </c>
      <c r="M331" s="248">
        <f t="shared" si="148"/>
        <v>0</v>
      </c>
      <c r="N331" s="248">
        <f t="shared" si="148"/>
        <v>10000000</v>
      </c>
      <c r="O331" s="248">
        <f t="shared" si="148"/>
        <v>0</v>
      </c>
    </row>
    <row r="332" ht="15.25" customHeight="1" spans="1:15">
      <c r="A332" s="249" t="s">
        <v>499</v>
      </c>
      <c r="B332" s="247" t="s">
        <v>239</v>
      </c>
      <c r="C332" s="244"/>
      <c r="D332" s="244"/>
      <c r="E332" s="244"/>
      <c r="F332" s="250">
        <f>SUM(F333:F333)</f>
        <v>10000000</v>
      </c>
      <c r="G332" s="250">
        <f t="shared" ref="G332:O332" si="149">SUM(G333:G333)</f>
        <v>0</v>
      </c>
      <c r="H332" s="250">
        <f t="shared" si="149"/>
        <v>0</v>
      </c>
      <c r="I332" s="250">
        <f t="shared" si="149"/>
        <v>10000000</v>
      </c>
      <c r="J332" s="250">
        <f t="shared" si="149"/>
        <v>100</v>
      </c>
      <c r="K332" s="250">
        <f t="shared" si="149"/>
        <v>0</v>
      </c>
      <c r="L332" s="250">
        <f t="shared" si="149"/>
        <v>0</v>
      </c>
      <c r="M332" s="250">
        <f t="shared" si="149"/>
        <v>0</v>
      </c>
      <c r="N332" s="250">
        <f t="shared" si="149"/>
        <v>10000000</v>
      </c>
      <c r="O332" s="250">
        <f t="shared" si="149"/>
        <v>0</v>
      </c>
    </row>
    <row r="333" ht="15.75" customHeight="1" spans="1:15">
      <c r="A333" s="251" t="s">
        <v>675</v>
      </c>
      <c r="B333" s="247" t="s">
        <v>676</v>
      </c>
      <c r="C333" s="244"/>
      <c r="D333" s="244"/>
      <c r="E333" s="244"/>
      <c r="F333" s="252">
        <v>10000000</v>
      </c>
      <c r="G333" s="252"/>
      <c r="H333" s="252"/>
      <c r="I333" s="252">
        <v>10000000</v>
      </c>
      <c r="J333" s="274">
        <v>100</v>
      </c>
      <c r="K333" s="292"/>
      <c r="L333" s="272"/>
      <c r="M333" s="272"/>
      <c r="N333" s="252">
        <v>10000000</v>
      </c>
      <c r="O333" s="302"/>
    </row>
    <row r="334" ht="15.5" customHeight="1" spans="1:15">
      <c r="A334" s="246" t="s">
        <v>677</v>
      </c>
      <c r="B334" s="266" t="s">
        <v>678</v>
      </c>
      <c r="C334" s="244"/>
      <c r="D334" s="244"/>
      <c r="E334" s="244"/>
      <c r="F334" s="248">
        <f>F335</f>
        <v>51045999</v>
      </c>
      <c r="G334" s="248"/>
      <c r="H334" s="248"/>
      <c r="I334" s="248">
        <f t="shared" ref="I334:O334" si="150">I335</f>
        <v>51045999</v>
      </c>
      <c r="J334" s="248"/>
      <c r="K334" s="276">
        <f t="shared" si="150"/>
        <v>0</v>
      </c>
      <c r="L334" s="277">
        <f t="shared" si="150"/>
        <v>0</v>
      </c>
      <c r="M334" s="277">
        <f t="shared" si="150"/>
        <v>0</v>
      </c>
      <c r="N334" s="277">
        <f t="shared" si="150"/>
        <v>51045999</v>
      </c>
      <c r="O334" s="277">
        <f t="shared" si="150"/>
        <v>0</v>
      </c>
    </row>
    <row r="335" ht="16.75" customHeight="1" spans="1:15">
      <c r="A335" s="246" t="s">
        <v>411</v>
      </c>
      <c r="B335" s="266" t="s">
        <v>412</v>
      </c>
      <c r="C335" s="244"/>
      <c r="D335" s="244"/>
      <c r="E335" s="244"/>
      <c r="F335" s="248">
        <f>F336+F341</f>
        <v>51045999</v>
      </c>
      <c r="G335" s="248"/>
      <c r="H335" s="248"/>
      <c r="I335" s="248">
        <f t="shared" ref="I335:O335" si="151">I336+I341</f>
        <v>51045999</v>
      </c>
      <c r="J335" s="248"/>
      <c r="K335" s="276">
        <f t="shared" si="151"/>
        <v>0</v>
      </c>
      <c r="L335" s="277">
        <f t="shared" si="151"/>
        <v>0</v>
      </c>
      <c r="M335" s="277">
        <f t="shared" si="151"/>
        <v>0</v>
      </c>
      <c r="N335" s="277">
        <f t="shared" si="151"/>
        <v>51045999</v>
      </c>
      <c r="O335" s="277">
        <f t="shared" si="151"/>
        <v>0</v>
      </c>
    </row>
    <row r="336" ht="15.5" customHeight="1" spans="1:15">
      <c r="A336" s="249" t="s">
        <v>413</v>
      </c>
      <c r="B336" s="266" t="s">
        <v>452</v>
      </c>
      <c r="C336" s="244"/>
      <c r="D336" s="244"/>
      <c r="E336" s="244"/>
      <c r="F336" s="250">
        <f>SUM(F337:F340)</f>
        <v>33545999</v>
      </c>
      <c r="G336" s="250"/>
      <c r="H336" s="250"/>
      <c r="I336" s="250">
        <f t="shared" ref="I336:O336" si="152">SUM(I337:I340)</f>
        <v>33545999</v>
      </c>
      <c r="J336" s="250"/>
      <c r="K336" s="278">
        <f t="shared" si="152"/>
        <v>0</v>
      </c>
      <c r="L336" s="279">
        <f t="shared" si="152"/>
        <v>0</v>
      </c>
      <c r="M336" s="279">
        <f t="shared" si="152"/>
        <v>0</v>
      </c>
      <c r="N336" s="279">
        <f t="shared" si="152"/>
        <v>33545999</v>
      </c>
      <c r="O336" s="279">
        <f t="shared" si="152"/>
        <v>0</v>
      </c>
    </row>
    <row r="337" ht="15.75" customHeight="1" spans="1:15">
      <c r="A337" s="251" t="s">
        <v>415</v>
      </c>
      <c r="B337" s="247" t="s">
        <v>416</v>
      </c>
      <c r="C337" s="244"/>
      <c r="D337" s="244"/>
      <c r="E337" s="244"/>
      <c r="F337" s="252">
        <v>526499</v>
      </c>
      <c r="G337" s="252"/>
      <c r="H337" s="252"/>
      <c r="I337" s="252">
        <v>526499</v>
      </c>
      <c r="J337" s="274">
        <v>100</v>
      </c>
      <c r="K337" s="292"/>
      <c r="L337" s="272"/>
      <c r="M337" s="272"/>
      <c r="N337" s="252">
        <v>526499</v>
      </c>
      <c r="O337" s="302"/>
    </row>
    <row r="338" ht="16.25" customHeight="1" spans="1:15">
      <c r="A338" s="251" t="s">
        <v>419</v>
      </c>
      <c r="B338" s="247" t="s">
        <v>599</v>
      </c>
      <c r="C338" s="244"/>
      <c r="D338" s="244"/>
      <c r="E338" s="244"/>
      <c r="F338" s="252">
        <v>94500</v>
      </c>
      <c r="G338" s="252"/>
      <c r="H338" s="252"/>
      <c r="I338" s="252">
        <v>94500</v>
      </c>
      <c r="J338" s="274">
        <v>100</v>
      </c>
      <c r="K338" s="292"/>
      <c r="L338" s="272"/>
      <c r="M338" s="272"/>
      <c r="N338" s="252">
        <v>94500</v>
      </c>
      <c r="O338" s="302"/>
    </row>
    <row r="339" ht="17.75" customHeight="1" spans="1:15">
      <c r="A339" s="267" t="s">
        <v>421</v>
      </c>
      <c r="B339" s="247" t="s">
        <v>422</v>
      </c>
      <c r="C339" s="268"/>
      <c r="D339" s="268"/>
      <c r="E339" s="268"/>
      <c r="F339" s="269">
        <v>19425000</v>
      </c>
      <c r="G339" s="269"/>
      <c r="H339" s="269"/>
      <c r="I339" s="269">
        <v>19425000</v>
      </c>
      <c r="J339" s="293">
        <v>100</v>
      </c>
      <c r="K339" s="294"/>
      <c r="L339" s="272"/>
      <c r="M339" s="272"/>
      <c r="N339" s="269">
        <v>19425000</v>
      </c>
      <c r="O339" s="302"/>
    </row>
    <row r="340" ht="15.75" customHeight="1" spans="1:15">
      <c r="A340" s="251" t="s">
        <v>558</v>
      </c>
      <c r="B340" s="247" t="s">
        <v>424</v>
      </c>
      <c r="C340" s="270"/>
      <c r="D340" s="270"/>
      <c r="E340" s="270"/>
      <c r="F340" s="252">
        <v>13500000</v>
      </c>
      <c r="G340" s="252"/>
      <c r="H340" s="252"/>
      <c r="I340" s="252">
        <v>13500000</v>
      </c>
      <c r="J340" s="274">
        <v>100</v>
      </c>
      <c r="K340" s="292"/>
      <c r="L340" s="272"/>
      <c r="M340" s="272"/>
      <c r="N340" s="252">
        <v>13500000</v>
      </c>
      <c r="O340" s="302"/>
    </row>
    <row r="341" ht="15.75" customHeight="1" spans="1:15">
      <c r="A341" s="249" t="s">
        <v>679</v>
      </c>
      <c r="B341" s="266" t="s">
        <v>560</v>
      </c>
      <c r="C341" s="270"/>
      <c r="D341" s="270"/>
      <c r="E341" s="270"/>
      <c r="F341" s="250">
        <f>SUM(F342:F343)</f>
        <v>17500000</v>
      </c>
      <c r="G341" s="250"/>
      <c r="H341" s="250"/>
      <c r="I341" s="250">
        <f t="shared" ref="I341:O341" si="153">SUM(I342:I343)</f>
        <v>17500000</v>
      </c>
      <c r="J341" s="250"/>
      <c r="K341" s="278">
        <f t="shared" si="153"/>
        <v>0</v>
      </c>
      <c r="L341" s="279">
        <f t="shared" si="153"/>
        <v>0</v>
      </c>
      <c r="M341" s="279">
        <f t="shared" si="153"/>
        <v>0</v>
      </c>
      <c r="N341" s="279">
        <f t="shared" si="153"/>
        <v>17500000</v>
      </c>
      <c r="O341" s="279">
        <f t="shared" si="153"/>
        <v>0</v>
      </c>
    </row>
    <row r="342" ht="15.75" customHeight="1" spans="1:15">
      <c r="A342" s="251" t="s">
        <v>561</v>
      </c>
      <c r="B342" s="247" t="s">
        <v>562</v>
      </c>
      <c r="C342" s="270"/>
      <c r="D342" s="270"/>
      <c r="E342" s="270"/>
      <c r="F342" s="252">
        <v>17000000</v>
      </c>
      <c r="G342" s="252"/>
      <c r="H342" s="252"/>
      <c r="I342" s="252">
        <v>17000000</v>
      </c>
      <c r="J342" s="274">
        <v>100</v>
      </c>
      <c r="K342" s="292"/>
      <c r="L342" s="272"/>
      <c r="M342" s="272"/>
      <c r="N342" s="252">
        <v>17000000</v>
      </c>
      <c r="O342" s="302"/>
    </row>
    <row r="343" customHeight="1" spans="1:15">
      <c r="A343" s="251" t="s">
        <v>680</v>
      </c>
      <c r="B343" s="247" t="s">
        <v>681</v>
      </c>
      <c r="C343" s="270"/>
      <c r="D343" s="270"/>
      <c r="E343" s="270"/>
      <c r="F343" s="252">
        <v>500000</v>
      </c>
      <c r="G343" s="252"/>
      <c r="H343" s="252"/>
      <c r="I343" s="252">
        <v>500000</v>
      </c>
      <c r="J343" s="274">
        <v>100</v>
      </c>
      <c r="K343" s="292"/>
      <c r="L343" s="272"/>
      <c r="M343" s="272"/>
      <c r="N343" s="252">
        <v>500000</v>
      </c>
      <c r="O343" s="302"/>
    </row>
    <row r="344" ht="15.25" customHeight="1" spans="1:15">
      <c r="A344" s="246" t="s">
        <v>682</v>
      </c>
      <c r="B344" s="266" t="s">
        <v>683</v>
      </c>
      <c r="C344" s="270"/>
      <c r="D344" s="270"/>
      <c r="E344" s="270"/>
      <c r="F344" s="248">
        <f>F345</f>
        <v>55000000</v>
      </c>
      <c r="G344" s="248">
        <f t="shared" ref="G344:O344" si="154">G345</f>
        <v>0</v>
      </c>
      <c r="H344" s="248">
        <f t="shared" si="154"/>
        <v>0</v>
      </c>
      <c r="I344" s="248">
        <f t="shared" si="154"/>
        <v>55000000</v>
      </c>
      <c r="J344" s="248">
        <f t="shared" si="154"/>
        <v>100</v>
      </c>
      <c r="K344" s="248">
        <f t="shared" si="154"/>
        <v>0</v>
      </c>
      <c r="L344" s="248">
        <f t="shared" si="154"/>
        <v>0</v>
      </c>
      <c r="M344" s="248">
        <f t="shared" si="154"/>
        <v>0</v>
      </c>
      <c r="N344" s="248">
        <f t="shared" si="154"/>
        <v>55000000</v>
      </c>
      <c r="O344" s="248">
        <f t="shared" si="154"/>
        <v>0</v>
      </c>
    </row>
    <row r="345" ht="17" customHeight="1" spans="1:15">
      <c r="A345" s="246" t="s">
        <v>470</v>
      </c>
      <c r="B345" s="266" t="s">
        <v>197</v>
      </c>
      <c r="C345" s="270"/>
      <c r="D345" s="270"/>
      <c r="E345" s="270"/>
      <c r="F345" s="248">
        <f>F346+F348</f>
        <v>55000000</v>
      </c>
      <c r="G345" s="248">
        <f t="shared" ref="G345:O345" si="155">G346+G348</f>
        <v>0</v>
      </c>
      <c r="H345" s="248">
        <f t="shared" si="155"/>
        <v>0</v>
      </c>
      <c r="I345" s="248">
        <f t="shared" si="155"/>
        <v>55000000</v>
      </c>
      <c r="J345" s="248">
        <f t="shared" si="155"/>
        <v>100</v>
      </c>
      <c r="K345" s="248">
        <f t="shared" si="155"/>
        <v>0</v>
      </c>
      <c r="L345" s="248">
        <f t="shared" si="155"/>
        <v>0</v>
      </c>
      <c r="M345" s="248">
        <f t="shared" si="155"/>
        <v>0</v>
      </c>
      <c r="N345" s="248">
        <f t="shared" si="155"/>
        <v>55000000</v>
      </c>
      <c r="O345" s="248">
        <f t="shared" si="155"/>
        <v>0</v>
      </c>
    </row>
    <row r="346" ht="15.25" customHeight="1" spans="1:15">
      <c r="A346" s="249" t="s">
        <v>489</v>
      </c>
      <c r="B346" s="266" t="s">
        <v>490</v>
      </c>
      <c r="C346" s="270"/>
      <c r="D346" s="270"/>
      <c r="E346" s="270"/>
      <c r="F346" s="250">
        <f>F347</f>
        <v>30000000</v>
      </c>
      <c r="G346" s="250">
        <f t="shared" ref="G346:O346" si="156">G347</f>
        <v>0</v>
      </c>
      <c r="H346" s="250">
        <f t="shared" si="156"/>
        <v>0</v>
      </c>
      <c r="I346" s="250">
        <f t="shared" si="156"/>
        <v>30000000</v>
      </c>
      <c r="J346" s="250">
        <f t="shared" si="156"/>
        <v>100</v>
      </c>
      <c r="K346" s="250">
        <f t="shared" si="156"/>
        <v>0</v>
      </c>
      <c r="L346" s="250">
        <f t="shared" si="156"/>
        <v>0</v>
      </c>
      <c r="M346" s="250">
        <f t="shared" si="156"/>
        <v>0</v>
      </c>
      <c r="N346" s="250">
        <f t="shared" si="156"/>
        <v>30000000</v>
      </c>
      <c r="O346" s="250">
        <f t="shared" si="156"/>
        <v>0</v>
      </c>
    </row>
    <row r="347" ht="15.25" customHeight="1" spans="1:15">
      <c r="A347" s="251" t="s">
        <v>684</v>
      </c>
      <c r="B347" s="247" t="s">
        <v>685</v>
      </c>
      <c r="C347" s="270"/>
      <c r="D347" s="270"/>
      <c r="E347" s="270"/>
      <c r="F347" s="252">
        <v>30000000</v>
      </c>
      <c r="G347" s="252"/>
      <c r="H347" s="252"/>
      <c r="I347" s="252">
        <v>30000000</v>
      </c>
      <c r="J347" s="274">
        <v>100</v>
      </c>
      <c r="K347" s="292"/>
      <c r="L347" s="272"/>
      <c r="M347" s="272"/>
      <c r="N347" s="252">
        <v>30000000</v>
      </c>
      <c r="O347" s="302"/>
    </row>
    <row r="348" ht="15" customHeight="1" spans="1:15">
      <c r="A348" s="246" t="s">
        <v>666</v>
      </c>
      <c r="B348" s="266" t="s">
        <v>686</v>
      </c>
      <c r="C348" s="270"/>
      <c r="D348" s="270"/>
      <c r="E348" s="270"/>
      <c r="F348" s="248">
        <f>F349</f>
        <v>25000000</v>
      </c>
      <c r="G348" s="248">
        <f t="shared" ref="G348:O348" si="157">G349</f>
        <v>0</v>
      </c>
      <c r="H348" s="248">
        <f t="shared" si="157"/>
        <v>0</v>
      </c>
      <c r="I348" s="248">
        <f t="shared" si="157"/>
        <v>25000000</v>
      </c>
      <c r="J348" s="248">
        <f t="shared" si="157"/>
        <v>0</v>
      </c>
      <c r="K348" s="248">
        <f t="shared" si="157"/>
        <v>0</v>
      </c>
      <c r="L348" s="248">
        <f t="shared" si="157"/>
        <v>0</v>
      </c>
      <c r="M348" s="248">
        <f t="shared" si="157"/>
        <v>0</v>
      </c>
      <c r="N348" s="248">
        <f t="shared" si="157"/>
        <v>25000000</v>
      </c>
      <c r="O348" s="248">
        <f t="shared" si="157"/>
        <v>0</v>
      </c>
    </row>
    <row r="349" ht="15" customHeight="1" spans="1:15">
      <c r="A349" s="246" t="s">
        <v>687</v>
      </c>
      <c r="B349" s="247" t="s">
        <v>688</v>
      </c>
      <c r="C349" s="270"/>
      <c r="D349" s="270"/>
      <c r="E349" s="270"/>
      <c r="F349" s="248">
        <v>25000000</v>
      </c>
      <c r="G349" s="248"/>
      <c r="H349" s="248"/>
      <c r="I349" s="248">
        <v>25000000</v>
      </c>
      <c r="J349" s="248"/>
      <c r="K349" s="276"/>
      <c r="L349" s="277"/>
      <c r="M349" s="277"/>
      <c r="N349" s="248">
        <v>25000000</v>
      </c>
      <c r="O349" s="277"/>
    </row>
    <row r="350" ht="15" customHeight="1" spans="1:15">
      <c r="A350" s="246" t="s">
        <v>689</v>
      </c>
      <c r="B350" s="266" t="s">
        <v>690</v>
      </c>
      <c r="C350" s="270"/>
      <c r="D350" s="270"/>
      <c r="E350" s="270"/>
      <c r="F350" s="248">
        <f>F357+F351</f>
        <v>5574000</v>
      </c>
      <c r="G350" s="248">
        <f t="shared" ref="G350:O350" si="158">G357+G351</f>
        <v>0</v>
      </c>
      <c r="H350" s="248">
        <f t="shared" si="158"/>
        <v>0</v>
      </c>
      <c r="I350" s="248">
        <f t="shared" si="158"/>
        <v>5574000</v>
      </c>
      <c r="J350" s="248">
        <f t="shared" si="158"/>
        <v>0</v>
      </c>
      <c r="K350" s="248">
        <f t="shared" si="158"/>
        <v>0</v>
      </c>
      <c r="L350" s="248">
        <f t="shared" si="158"/>
        <v>4275000</v>
      </c>
      <c r="M350" s="248">
        <f t="shared" si="158"/>
        <v>0</v>
      </c>
      <c r="N350" s="248">
        <f t="shared" si="158"/>
        <v>1299000</v>
      </c>
      <c r="O350" s="248">
        <f t="shared" si="158"/>
        <v>0</v>
      </c>
    </row>
    <row r="351" ht="16" customHeight="1" spans="1:15">
      <c r="A351" s="246" t="s">
        <v>691</v>
      </c>
      <c r="B351" s="266" t="s">
        <v>692</v>
      </c>
      <c r="C351" s="270"/>
      <c r="D351" s="270"/>
      <c r="E351" s="270"/>
      <c r="F351" s="248">
        <f>F352</f>
        <v>4275000</v>
      </c>
      <c r="G351" s="248">
        <f t="shared" ref="G351:O351" si="159">G352</f>
        <v>0</v>
      </c>
      <c r="H351" s="248">
        <f t="shared" si="159"/>
        <v>0</v>
      </c>
      <c r="I351" s="248">
        <f t="shared" si="159"/>
        <v>4275000</v>
      </c>
      <c r="J351" s="248">
        <f t="shared" si="159"/>
        <v>0</v>
      </c>
      <c r="K351" s="248">
        <f t="shared" si="159"/>
        <v>0</v>
      </c>
      <c r="L351" s="248">
        <f t="shared" si="159"/>
        <v>4275000</v>
      </c>
      <c r="M351" s="248">
        <f t="shared" si="159"/>
        <v>0</v>
      </c>
      <c r="N351" s="248">
        <f t="shared" si="159"/>
        <v>0</v>
      </c>
      <c r="O351" s="248">
        <f t="shared" si="159"/>
        <v>0</v>
      </c>
    </row>
    <row r="352" ht="16" customHeight="1" spans="1:15">
      <c r="A352" s="246" t="s">
        <v>485</v>
      </c>
      <c r="B352" s="266" t="s">
        <v>412</v>
      </c>
      <c r="C352" s="270"/>
      <c r="D352" s="270"/>
      <c r="E352" s="270"/>
      <c r="F352" s="248">
        <f>F353</f>
        <v>4275000</v>
      </c>
      <c r="G352" s="248">
        <f t="shared" ref="G352:O352" si="160">G353</f>
        <v>0</v>
      </c>
      <c r="H352" s="248">
        <f t="shared" si="160"/>
        <v>0</v>
      </c>
      <c r="I352" s="248">
        <f t="shared" si="160"/>
        <v>4275000</v>
      </c>
      <c r="J352" s="248">
        <f t="shared" si="160"/>
        <v>0</v>
      </c>
      <c r="K352" s="248">
        <f t="shared" si="160"/>
        <v>0</v>
      </c>
      <c r="L352" s="248">
        <f t="shared" si="160"/>
        <v>4275000</v>
      </c>
      <c r="M352" s="248">
        <f t="shared" si="160"/>
        <v>0</v>
      </c>
      <c r="N352" s="248">
        <f t="shared" si="160"/>
        <v>0</v>
      </c>
      <c r="O352" s="248">
        <f t="shared" si="160"/>
        <v>0</v>
      </c>
    </row>
    <row r="353" ht="16" customHeight="1" spans="1:15">
      <c r="A353" s="246" t="s">
        <v>486</v>
      </c>
      <c r="B353" s="266" t="s">
        <v>452</v>
      </c>
      <c r="C353" s="270"/>
      <c r="D353" s="270"/>
      <c r="E353" s="270"/>
      <c r="F353" s="248">
        <f>SUM(F354:F356)</f>
        <v>4275000</v>
      </c>
      <c r="G353" s="248">
        <f t="shared" ref="G353:O353" si="161">SUM(G354:G356)</f>
        <v>0</v>
      </c>
      <c r="H353" s="248">
        <f t="shared" si="161"/>
        <v>0</v>
      </c>
      <c r="I353" s="248">
        <f t="shared" si="161"/>
        <v>4275000</v>
      </c>
      <c r="J353" s="248">
        <f t="shared" si="161"/>
        <v>0</v>
      </c>
      <c r="K353" s="248">
        <f t="shared" si="161"/>
        <v>0</v>
      </c>
      <c r="L353" s="248">
        <f t="shared" si="161"/>
        <v>4275000</v>
      </c>
      <c r="M353" s="248">
        <f t="shared" si="161"/>
        <v>0</v>
      </c>
      <c r="N353" s="248">
        <f t="shared" si="161"/>
        <v>0</v>
      </c>
      <c r="O353" s="248">
        <f t="shared" si="161"/>
        <v>0</v>
      </c>
    </row>
    <row r="354" ht="16" customHeight="1" spans="1:15">
      <c r="A354" s="251" t="s">
        <v>538</v>
      </c>
      <c r="B354" s="247" t="s">
        <v>422</v>
      </c>
      <c r="C354" s="270"/>
      <c r="D354" s="270"/>
      <c r="E354" s="270"/>
      <c r="F354" s="252">
        <v>1625000</v>
      </c>
      <c r="G354" s="248"/>
      <c r="H354" s="248"/>
      <c r="I354" s="252">
        <v>1625000</v>
      </c>
      <c r="J354" s="248"/>
      <c r="K354" s="276"/>
      <c r="L354" s="252">
        <v>1625000</v>
      </c>
      <c r="M354" s="277"/>
      <c r="N354" s="277"/>
      <c r="O354" s="277"/>
    </row>
    <row r="355" ht="16" customHeight="1" spans="1:15">
      <c r="A355" s="251" t="s">
        <v>693</v>
      </c>
      <c r="B355" s="247" t="s">
        <v>694</v>
      </c>
      <c r="C355" s="270"/>
      <c r="D355" s="270"/>
      <c r="E355" s="270"/>
      <c r="F355" s="252">
        <v>850000</v>
      </c>
      <c r="G355" s="248"/>
      <c r="H355" s="248"/>
      <c r="I355" s="252">
        <v>850000</v>
      </c>
      <c r="J355" s="248"/>
      <c r="K355" s="276"/>
      <c r="L355" s="252">
        <v>850000</v>
      </c>
      <c r="M355" s="277"/>
      <c r="N355" s="277"/>
      <c r="O355" s="277"/>
    </row>
    <row r="356" ht="16" customHeight="1" spans="1:15">
      <c r="A356" s="251" t="s">
        <v>423</v>
      </c>
      <c r="B356" s="247" t="s">
        <v>508</v>
      </c>
      <c r="C356" s="270"/>
      <c r="D356" s="270"/>
      <c r="E356" s="270"/>
      <c r="F356" s="252">
        <v>1800000</v>
      </c>
      <c r="G356" s="248"/>
      <c r="H356" s="248"/>
      <c r="I356" s="252">
        <v>1800000</v>
      </c>
      <c r="J356" s="248"/>
      <c r="K356" s="276"/>
      <c r="L356" s="252">
        <v>1800000</v>
      </c>
      <c r="M356" s="277"/>
      <c r="N356" s="277"/>
      <c r="O356" s="277"/>
    </row>
    <row r="357" ht="16" customHeight="1" spans="1:15">
      <c r="A357" s="246" t="s">
        <v>695</v>
      </c>
      <c r="B357" s="266" t="s">
        <v>696</v>
      </c>
      <c r="C357" s="270"/>
      <c r="D357" s="270"/>
      <c r="E357" s="270"/>
      <c r="F357" s="248">
        <f>F358</f>
        <v>1299000</v>
      </c>
      <c r="G357" s="248">
        <f t="shared" ref="G357:O357" si="162">G358</f>
        <v>0</v>
      </c>
      <c r="H357" s="248">
        <f t="shared" si="162"/>
        <v>0</v>
      </c>
      <c r="I357" s="248">
        <f t="shared" si="162"/>
        <v>1299000</v>
      </c>
      <c r="J357" s="248">
        <f t="shared" si="162"/>
        <v>0</v>
      </c>
      <c r="K357" s="248">
        <f t="shared" si="162"/>
        <v>0</v>
      </c>
      <c r="L357" s="248">
        <f t="shared" si="162"/>
        <v>0</v>
      </c>
      <c r="M357" s="248">
        <f t="shared" si="162"/>
        <v>0</v>
      </c>
      <c r="N357" s="248">
        <f t="shared" si="162"/>
        <v>1299000</v>
      </c>
      <c r="O357" s="248">
        <f t="shared" si="162"/>
        <v>0</v>
      </c>
    </row>
    <row r="358" ht="16.75" customHeight="1" spans="1:15">
      <c r="A358" s="246" t="s">
        <v>411</v>
      </c>
      <c r="B358" s="247" t="s">
        <v>412</v>
      </c>
      <c r="C358" s="270"/>
      <c r="D358" s="270"/>
      <c r="E358" s="270"/>
      <c r="F358" s="248">
        <f>F359+F363</f>
        <v>1299000</v>
      </c>
      <c r="G358" s="248"/>
      <c r="H358" s="248"/>
      <c r="I358" s="248">
        <f t="shared" ref="I358:O358" si="163">I359+I363</f>
        <v>1299000</v>
      </c>
      <c r="J358" s="248"/>
      <c r="K358" s="276">
        <f t="shared" si="163"/>
        <v>0</v>
      </c>
      <c r="L358" s="277">
        <f t="shared" si="163"/>
        <v>0</v>
      </c>
      <c r="M358" s="277">
        <f t="shared" si="163"/>
        <v>0</v>
      </c>
      <c r="N358" s="277">
        <f t="shared" si="163"/>
        <v>1299000</v>
      </c>
      <c r="O358" s="277">
        <f t="shared" si="163"/>
        <v>0</v>
      </c>
    </row>
    <row r="359" ht="15.25" customHeight="1" spans="1:15">
      <c r="A359" s="249" t="s">
        <v>413</v>
      </c>
      <c r="B359" s="247" t="s">
        <v>452</v>
      </c>
      <c r="C359" s="270"/>
      <c r="D359" s="270"/>
      <c r="E359" s="270"/>
      <c r="F359" s="250">
        <f>SUM(F360:F362)</f>
        <v>1239000</v>
      </c>
      <c r="G359" s="250"/>
      <c r="H359" s="250"/>
      <c r="I359" s="250">
        <f t="shared" ref="I359:O359" si="164">SUM(I360:I362)</f>
        <v>1239000</v>
      </c>
      <c r="J359" s="250"/>
      <c r="K359" s="278">
        <f t="shared" si="164"/>
        <v>0</v>
      </c>
      <c r="L359" s="279">
        <f t="shared" si="164"/>
        <v>0</v>
      </c>
      <c r="M359" s="279">
        <f t="shared" si="164"/>
        <v>0</v>
      </c>
      <c r="N359" s="279">
        <f t="shared" si="164"/>
        <v>1239000</v>
      </c>
      <c r="O359" s="279">
        <f t="shared" si="164"/>
        <v>0</v>
      </c>
    </row>
    <row r="360" ht="15.75" customHeight="1" spans="1:15">
      <c r="A360" s="251" t="s">
        <v>415</v>
      </c>
      <c r="B360" s="247" t="s">
        <v>416</v>
      </c>
      <c r="C360" s="270"/>
      <c r="D360" s="270"/>
      <c r="E360" s="270"/>
      <c r="F360" s="252">
        <v>140000</v>
      </c>
      <c r="G360" s="252"/>
      <c r="H360" s="252"/>
      <c r="I360" s="252">
        <v>140000</v>
      </c>
      <c r="J360" s="274">
        <v>100</v>
      </c>
      <c r="K360" s="292"/>
      <c r="L360" s="272"/>
      <c r="M360" s="272"/>
      <c r="N360" s="252">
        <v>140000</v>
      </c>
      <c r="O360" s="302"/>
    </row>
    <row r="361" ht="15.75" customHeight="1" spans="1:15">
      <c r="A361" s="251" t="s">
        <v>419</v>
      </c>
      <c r="B361" s="226" t="s">
        <v>599</v>
      </c>
      <c r="C361" s="270"/>
      <c r="D361" s="270"/>
      <c r="E361" s="270"/>
      <c r="F361" s="252">
        <v>99000</v>
      </c>
      <c r="G361" s="252"/>
      <c r="H361" s="252"/>
      <c r="I361" s="252">
        <v>99000</v>
      </c>
      <c r="J361" s="274">
        <v>100</v>
      </c>
      <c r="K361" s="292"/>
      <c r="L361" s="272"/>
      <c r="M361" s="272"/>
      <c r="N361" s="252">
        <v>99000</v>
      </c>
      <c r="O361" s="302"/>
    </row>
    <row r="362" ht="15.75" customHeight="1" spans="1:15">
      <c r="A362" s="251" t="s">
        <v>421</v>
      </c>
      <c r="B362" s="247" t="s">
        <v>422</v>
      </c>
      <c r="C362" s="270"/>
      <c r="D362" s="270"/>
      <c r="E362" s="270"/>
      <c r="F362" s="252">
        <v>1000000</v>
      </c>
      <c r="G362" s="252"/>
      <c r="H362" s="252"/>
      <c r="I362" s="252">
        <v>1000000</v>
      </c>
      <c r="J362" s="274">
        <v>100</v>
      </c>
      <c r="K362" s="292"/>
      <c r="L362" s="272"/>
      <c r="M362" s="272"/>
      <c r="N362" s="252">
        <v>1000000</v>
      </c>
      <c r="O362" s="302"/>
    </row>
    <row r="363" ht="15.75" customHeight="1" spans="1:15">
      <c r="A363" s="249" t="s">
        <v>455</v>
      </c>
      <c r="B363" s="247" t="s">
        <v>236</v>
      </c>
      <c r="C363" s="270"/>
      <c r="D363" s="270"/>
      <c r="E363" s="270"/>
      <c r="F363" s="250">
        <f>F364</f>
        <v>60000</v>
      </c>
      <c r="G363" s="250"/>
      <c r="H363" s="250"/>
      <c r="I363" s="250">
        <f t="shared" ref="I363:O363" si="165">I364</f>
        <v>60000</v>
      </c>
      <c r="J363" s="250"/>
      <c r="K363" s="278">
        <f t="shared" si="165"/>
        <v>0</v>
      </c>
      <c r="L363" s="279">
        <f t="shared" si="165"/>
        <v>0</v>
      </c>
      <c r="M363" s="279">
        <f t="shared" si="165"/>
        <v>0</v>
      </c>
      <c r="N363" s="279">
        <f t="shared" si="165"/>
        <v>60000</v>
      </c>
      <c r="O363" s="279">
        <f t="shared" si="165"/>
        <v>0</v>
      </c>
    </row>
    <row r="364" ht="15.25" customHeight="1" spans="1:15">
      <c r="A364" s="251" t="s">
        <v>457</v>
      </c>
      <c r="B364" s="247" t="s">
        <v>697</v>
      </c>
      <c r="C364" s="270"/>
      <c r="D364" s="270"/>
      <c r="E364" s="270"/>
      <c r="F364" s="252">
        <v>60000</v>
      </c>
      <c r="G364" s="252"/>
      <c r="H364" s="252"/>
      <c r="I364" s="252">
        <v>60000</v>
      </c>
      <c r="J364" s="274">
        <v>100</v>
      </c>
      <c r="K364" s="292"/>
      <c r="L364" s="272"/>
      <c r="M364" s="272"/>
      <c r="N364" s="252">
        <v>60000</v>
      </c>
      <c r="O364" s="302"/>
    </row>
    <row r="365" ht="15" customHeight="1" spans="1:15">
      <c r="A365" s="246" t="s">
        <v>698</v>
      </c>
      <c r="B365" s="297" t="s">
        <v>287</v>
      </c>
      <c r="C365" s="248">
        <v>15312100</v>
      </c>
      <c r="D365" s="270"/>
      <c r="E365" s="270"/>
      <c r="F365" s="248">
        <f>F366+F374</f>
        <v>6187100</v>
      </c>
      <c r="G365" s="248">
        <f t="shared" ref="G365:O365" si="166">G366+G374</f>
        <v>0</v>
      </c>
      <c r="H365" s="248">
        <f t="shared" si="166"/>
        <v>0</v>
      </c>
      <c r="I365" s="248">
        <f t="shared" si="166"/>
        <v>6187100</v>
      </c>
      <c r="J365" s="248">
        <f t="shared" si="166"/>
        <v>0</v>
      </c>
      <c r="K365" s="248">
        <f t="shared" si="166"/>
        <v>0</v>
      </c>
      <c r="L365" s="248">
        <f t="shared" si="166"/>
        <v>0</v>
      </c>
      <c r="M365" s="248">
        <f t="shared" si="166"/>
        <v>0</v>
      </c>
      <c r="N365" s="248">
        <f t="shared" si="166"/>
        <v>6187100</v>
      </c>
      <c r="O365" s="248">
        <f t="shared" si="166"/>
        <v>0</v>
      </c>
    </row>
    <row r="366" ht="16.75" customHeight="1" spans="1:15">
      <c r="A366" s="246" t="s">
        <v>699</v>
      </c>
      <c r="B366" s="247" t="s">
        <v>700</v>
      </c>
      <c r="C366" s="270"/>
      <c r="D366" s="270"/>
      <c r="E366" s="270"/>
      <c r="F366" s="248">
        <f>F367</f>
        <v>2029000</v>
      </c>
      <c r="G366" s="248"/>
      <c r="H366" s="248"/>
      <c r="I366" s="248">
        <f t="shared" ref="I366:O366" si="167">I367</f>
        <v>2029000</v>
      </c>
      <c r="J366" s="248"/>
      <c r="K366" s="276">
        <f t="shared" si="167"/>
        <v>0</v>
      </c>
      <c r="L366" s="277">
        <f t="shared" si="167"/>
        <v>0</v>
      </c>
      <c r="M366" s="277">
        <f t="shared" si="167"/>
        <v>0</v>
      </c>
      <c r="N366" s="277">
        <f t="shared" si="167"/>
        <v>2029000</v>
      </c>
      <c r="O366" s="277">
        <f t="shared" si="167"/>
        <v>0</v>
      </c>
    </row>
    <row r="367" ht="18.25" customHeight="1" spans="1:15">
      <c r="A367" s="299" t="s">
        <v>411</v>
      </c>
      <c r="B367" s="247" t="s">
        <v>412</v>
      </c>
      <c r="C367" s="243"/>
      <c r="D367" s="243"/>
      <c r="E367" s="243"/>
      <c r="F367" s="301">
        <f>F368+F372</f>
        <v>2029000</v>
      </c>
      <c r="G367" s="301"/>
      <c r="H367" s="301"/>
      <c r="I367" s="301">
        <f t="shared" ref="I367:O367" si="168">I368+I372</f>
        <v>2029000</v>
      </c>
      <c r="J367" s="301"/>
      <c r="K367" s="310">
        <f t="shared" si="168"/>
        <v>0</v>
      </c>
      <c r="L367" s="277">
        <f t="shared" si="168"/>
        <v>0</v>
      </c>
      <c r="M367" s="277">
        <f t="shared" si="168"/>
        <v>0</v>
      </c>
      <c r="N367" s="277">
        <f t="shared" si="168"/>
        <v>2029000</v>
      </c>
      <c r="O367" s="277">
        <f t="shared" si="168"/>
        <v>0</v>
      </c>
    </row>
    <row r="368" ht="15.5" customHeight="1" spans="1:15">
      <c r="A368" s="249" t="s">
        <v>413</v>
      </c>
      <c r="B368" s="247" t="s">
        <v>452</v>
      </c>
      <c r="C368" s="244"/>
      <c r="D368" s="244"/>
      <c r="E368" s="244"/>
      <c r="F368" s="250">
        <f>SUM(F369:F371)</f>
        <v>1849000</v>
      </c>
      <c r="G368" s="250"/>
      <c r="H368" s="250"/>
      <c r="I368" s="250">
        <f t="shared" ref="I368:O368" si="169">SUM(I369:I371)</f>
        <v>1849000</v>
      </c>
      <c r="J368" s="250"/>
      <c r="K368" s="278">
        <f t="shared" si="169"/>
        <v>0</v>
      </c>
      <c r="L368" s="279">
        <f t="shared" si="169"/>
        <v>0</v>
      </c>
      <c r="M368" s="279">
        <f t="shared" si="169"/>
        <v>0</v>
      </c>
      <c r="N368" s="279">
        <f t="shared" si="169"/>
        <v>1849000</v>
      </c>
      <c r="O368" s="279">
        <f t="shared" si="169"/>
        <v>0</v>
      </c>
    </row>
    <row r="369" ht="15.75" customHeight="1" spans="1:15">
      <c r="A369" s="251" t="s">
        <v>415</v>
      </c>
      <c r="B369" s="247" t="s">
        <v>416</v>
      </c>
      <c r="C369" s="244"/>
      <c r="D369" s="244"/>
      <c r="E369" s="244"/>
      <c r="F369" s="252">
        <v>250000</v>
      </c>
      <c r="G369" s="252"/>
      <c r="H369" s="252"/>
      <c r="I369" s="252">
        <v>250000</v>
      </c>
      <c r="J369" s="274">
        <v>100</v>
      </c>
      <c r="K369" s="292"/>
      <c r="L369" s="272"/>
      <c r="M369" s="272"/>
      <c r="N369" s="252">
        <v>250000</v>
      </c>
      <c r="O369" s="302"/>
    </row>
    <row r="370" ht="15.75" customHeight="1" spans="1:15">
      <c r="A370" s="251" t="s">
        <v>419</v>
      </c>
      <c r="B370" s="226" t="s">
        <v>599</v>
      </c>
      <c r="C370" s="244"/>
      <c r="D370" s="244"/>
      <c r="E370" s="244"/>
      <c r="F370" s="252">
        <v>99000</v>
      </c>
      <c r="G370" s="252"/>
      <c r="H370" s="252"/>
      <c r="I370" s="252">
        <v>99000</v>
      </c>
      <c r="J370" s="274">
        <v>100</v>
      </c>
      <c r="K370" s="292"/>
      <c r="L370" s="272"/>
      <c r="M370" s="272"/>
      <c r="N370" s="252">
        <v>99000</v>
      </c>
      <c r="O370" s="302"/>
    </row>
    <row r="371" ht="15.75" customHeight="1" spans="1:15">
      <c r="A371" s="251" t="s">
        <v>421</v>
      </c>
      <c r="B371" s="247" t="s">
        <v>422</v>
      </c>
      <c r="C371" s="244"/>
      <c r="D371" s="244"/>
      <c r="E371" s="244"/>
      <c r="F371" s="252">
        <v>1500000</v>
      </c>
      <c r="G371" s="252"/>
      <c r="H371" s="252"/>
      <c r="I371" s="252">
        <v>1500000</v>
      </c>
      <c r="J371" s="274">
        <v>100</v>
      </c>
      <c r="K371" s="292"/>
      <c r="L371" s="272"/>
      <c r="M371" s="272"/>
      <c r="N371" s="252">
        <v>1500000</v>
      </c>
      <c r="O371" s="302"/>
    </row>
    <row r="372" ht="15.75" customHeight="1" spans="1:15">
      <c r="A372" s="249" t="s">
        <v>455</v>
      </c>
      <c r="B372" s="247" t="s">
        <v>456</v>
      </c>
      <c r="C372" s="244"/>
      <c r="D372" s="244"/>
      <c r="E372" s="244"/>
      <c r="F372" s="250">
        <f>F373</f>
        <v>180000</v>
      </c>
      <c r="G372" s="250"/>
      <c r="H372" s="250"/>
      <c r="I372" s="250">
        <f t="shared" ref="I372:O372" si="170">I373</f>
        <v>180000</v>
      </c>
      <c r="J372" s="250"/>
      <c r="K372" s="278">
        <f t="shared" si="170"/>
        <v>0</v>
      </c>
      <c r="L372" s="279">
        <f t="shared" si="170"/>
        <v>0</v>
      </c>
      <c r="M372" s="279">
        <f t="shared" si="170"/>
        <v>0</v>
      </c>
      <c r="N372" s="279">
        <f t="shared" si="170"/>
        <v>180000</v>
      </c>
      <c r="O372" s="279">
        <f t="shared" si="170"/>
        <v>0</v>
      </c>
    </row>
    <row r="373" customHeight="1" spans="1:15">
      <c r="A373" s="251" t="s">
        <v>457</v>
      </c>
      <c r="B373" s="247" t="s">
        <v>701</v>
      </c>
      <c r="C373" s="244"/>
      <c r="D373" s="244"/>
      <c r="E373" s="244"/>
      <c r="F373" s="252">
        <v>180000</v>
      </c>
      <c r="G373" s="252"/>
      <c r="H373" s="252"/>
      <c r="I373" s="252">
        <v>180000</v>
      </c>
      <c r="J373" s="274">
        <v>100</v>
      </c>
      <c r="K373" s="292"/>
      <c r="L373" s="272"/>
      <c r="M373" s="272"/>
      <c r="N373" s="252">
        <v>180000</v>
      </c>
      <c r="O373" s="302"/>
    </row>
    <row r="374" ht="15.25" customHeight="1" spans="1:15">
      <c r="A374" s="246" t="s">
        <v>702</v>
      </c>
      <c r="B374" s="247" t="s">
        <v>703</v>
      </c>
      <c r="C374" s="244"/>
      <c r="D374" s="244"/>
      <c r="E374" s="244"/>
      <c r="F374" s="248">
        <f>F375</f>
        <v>4158100</v>
      </c>
      <c r="G374" s="248"/>
      <c r="H374" s="248"/>
      <c r="I374" s="248">
        <f t="shared" ref="I374:O374" si="171">I375</f>
        <v>4158100</v>
      </c>
      <c r="J374" s="248"/>
      <c r="K374" s="276">
        <f t="shared" si="171"/>
        <v>0</v>
      </c>
      <c r="L374" s="277">
        <f t="shared" si="171"/>
        <v>0</v>
      </c>
      <c r="M374" s="277">
        <f t="shared" si="171"/>
        <v>0</v>
      </c>
      <c r="N374" s="277">
        <f t="shared" si="171"/>
        <v>4158100</v>
      </c>
      <c r="O374" s="277">
        <f t="shared" si="171"/>
        <v>0</v>
      </c>
    </row>
    <row r="375" ht="16.75" customHeight="1" spans="1:15">
      <c r="A375" s="246" t="s">
        <v>411</v>
      </c>
      <c r="B375" s="247" t="s">
        <v>412</v>
      </c>
      <c r="C375" s="244"/>
      <c r="D375" s="244"/>
      <c r="E375" s="244"/>
      <c r="F375" s="248">
        <f>F376+F380</f>
        <v>4158100</v>
      </c>
      <c r="G375" s="248"/>
      <c r="H375" s="248"/>
      <c r="I375" s="248">
        <f t="shared" ref="I375:O375" si="172">I376+I380</f>
        <v>4158100</v>
      </c>
      <c r="J375" s="248"/>
      <c r="K375" s="276">
        <f t="shared" si="172"/>
        <v>0</v>
      </c>
      <c r="L375" s="277">
        <f t="shared" si="172"/>
        <v>0</v>
      </c>
      <c r="M375" s="277">
        <f t="shared" si="172"/>
        <v>0</v>
      </c>
      <c r="N375" s="277">
        <f t="shared" si="172"/>
        <v>4158100</v>
      </c>
      <c r="O375" s="277">
        <f t="shared" si="172"/>
        <v>0</v>
      </c>
    </row>
    <row r="376" ht="15.25" customHeight="1" spans="1:15">
      <c r="A376" s="249" t="s">
        <v>413</v>
      </c>
      <c r="B376" s="247" t="s">
        <v>452</v>
      </c>
      <c r="C376" s="244"/>
      <c r="D376" s="244"/>
      <c r="E376" s="244"/>
      <c r="F376" s="250">
        <f>SUM(F377:F379)</f>
        <v>3978100</v>
      </c>
      <c r="G376" s="250"/>
      <c r="H376" s="250"/>
      <c r="I376" s="250">
        <f t="shared" ref="I376:O376" si="173">SUM(I377:I379)</f>
        <v>3978100</v>
      </c>
      <c r="J376" s="250"/>
      <c r="K376" s="278">
        <f t="shared" si="173"/>
        <v>0</v>
      </c>
      <c r="L376" s="279">
        <f t="shared" si="173"/>
        <v>0</v>
      </c>
      <c r="M376" s="279">
        <f t="shared" si="173"/>
        <v>0</v>
      </c>
      <c r="N376" s="279">
        <f t="shared" si="173"/>
        <v>3978100</v>
      </c>
      <c r="O376" s="279">
        <f t="shared" si="173"/>
        <v>0</v>
      </c>
    </row>
    <row r="377" ht="15.75" customHeight="1" spans="1:15">
      <c r="A377" s="251" t="s">
        <v>415</v>
      </c>
      <c r="B377" s="247" t="s">
        <v>416</v>
      </c>
      <c r="C377" s="244"/>
      <c r="D377" s="244"/>
      <c r="E377" s="244"/>
      <c r="F377" s="252">
        <v>283100</v>
      </c>
      <c r="G377" s="252"/>
      <c r="H377" s="252"/>
      <c r="I377" s="252">
        <v>283100</v>
      </c>
      <c r="J377" s="274">
        <v>100</v>
      </c>
      <c r="K377" s="292"/>
      <c r="L377" s="272"/>
      <c r="M377" s="272"/>
      <c r="N377" s="252">
        <v>283100</v>
      </c>
      <c r="O377" s="302"/>
    </row>
    <row r="378" ht="15.75" customHeight="1" spans="1:15">
      <c r="A378" s="251" t="s">
        <v>419</v>
      </c>
      <c r="B378" s="226" t="s">
        <v>599</v>
      </c>
      <c r="C378" s="244"/>
      <c r="D378" s="244"/>
      <c r="E378" s="244"/>
      <c r="F378" s="252">
        <v>195000</v>
      </c>
      <c r="G378" s="252"/>
      <c r="H378" s="252"/>
      <c r="I378" s="252">
        <v>195000</v>
      </c>
      <c r="J378" s="274">
        <v>100</v>
      </c>
      <c r="K378" s="292"/>
      <c r="L378" s="272"/>
      <c r="M378" s="272"/>
      <c r="N378" s="252">
        <v>195000</v>
      </c>
      <c r="O378" s="302"/>
    </row>
    <row r="379" ht="15.75" customHeight="1" spans="1:15">
      <c r="A379" s="251" t="s">
        <v>421</v>
      </c>
      <c r="B379" s="247" t="s">
        <v>422</v>
      </c>
      <c r="C379" s="244"/>
      <c r="D379" s="244"/>
      <c r="E379" s="244"/>
      <c r="F379" s="252">
        <v>3500000</v>
      </c>
      <c r="G379" s="252"/>
      <c r="H379" s="252"/>
      <c r="I379" s="252">
        <v>3500000</v>
      </c>
      <c r="J379" s="274">
        <v>100</v>
      </c>
      <c r="K379" s="292"/>
      <c r="L379" s="272"/>
      <c r="M379" s="272"/>
      <c r="N379" s="252">
        <v>3500000</v>
      </c>
      <c r="O379" s="302"/>
    </row>
    <row r="380" ht="15.75" customHeight="1" spans="1:15">
      <c r="A380" s="249" t="s">
        <v>455</v>
      </c>
      <c r="B380" s="247" t="s">
        <v>456</v>
      </c>
      <c r="C380" s="244"/>
      <c r="D380" s="244"/>
      <c r="E380" s="244"/>
      <c r="F380" s="250">
        <f>F381</f>
        <v>180000</v>
      </c>
      <c r="G380" s="250"/>
      <c r="H380" s="250"/>
      <c r="I380" s="250">
        <f t="shared" ref="I380:O380" si="174">I381</f>
        <v>180000</v>
      </c>
      <c r="J380" s="250"/>
      <c r="K380" s="278">
        <f t="shared" si="174"/>
        <v>0</v>
      </c>
      <c r="L380" s="279">
        <f t="shared" si="174"/>
        <v>0</v>
      </c>
      <c r="M380" s="279">
        <f t="shared" si="174"/>
        <v>0</v>
      </c>
      <c r="N380" s="279">
        <f t="shared" si="174"/>
        <v>180000</v>
      </c>
      <c r="O380" s="279">
        <f t="shared" si="174"/>
        <v>0</v>
      </c>
    </row>
    <row r="381" ht="16.25" customHeight="1" spans="1:15">
      <c r="A381" s="251" t="s">
        <v>457</v>
      </c>
      <c r="B381" s="247" t="s">
        <v>701</v>
      </c>
      <c r="C381" s="244"/>
      <c r="D381" s="244"/>
      <c r="E381" s="244"/>
      <c r="F381" s="252">
        <v>180000</v>
      </c>
      <c r="G381" s="252"/>
      <c r="H381" s="252"/>
      <c r="I381" s="252">
        <v>180000</v>
      </c>
      <c r="J381" s="274">
        <v>100</v>
      </c>
      <c r="K381" s="292"/>
      <c r="L381" s="272"/>
      <c r="M381" s="272"/>
      <c r="N381" s="252">
        <v>180000</v>
      </c>
      <c r="O381" s="302"/>
    </row>
    <row r="382" ht="16.5" customHeight="1" spans="1:15">
      <c r="A382" s="265">
        <v>4</v>
      </c>
      <c r="B382" s="266" t="s">
        <v>704</v>
      </c>
      <c r="C382" s="244"/>
      <c r="D382" s="244"/>
      <c r="E382" s="244"/>
      <c r="F382" s="248">
        <f>F383</f>
        <v>39700000</v>
      </c>
      <c r="G382" s="248">
        <f t="shared" ref="G382:O382" si="175">G383</f>
        <v>0</v>
      </c>
      <c r="H382" s="248">
        <f t="shared" si="175"/>
        <v>0</v>
      </c>
      <c r="I382" s="248">
        <f t="shared" si="175"/>
        <v>39700000</v>
      </c>
      <c r="J382" s="248">
        <f t="shared" si="175"/>
        <v>0</v>
      </c>
      <c r="K382" s="248">
        <f t="shared" si="175"/>
        <v>39700000</v>
      </c>
      <c r="L382" s="248">
        <f t="shared" si="175"/>
        <v>0</v>
      </c>
      <c r="M382" s="248">
        <f t="shared" si="175"/>
        <v>0</v>
      </c>
      <c r="N382" s="248">
        <f t="shared" si="175"/>
        <v>0</v>
      </c>
      <c r="O382" s="248">
        <f t="shared" si="175"/>
        <v>0</v>
      </c>
    </row>
    <row r="383" ht="15.75" customHeight="1" spans="1:15">
      <c r="A383" s="246" t="s">
        <v>705</v>
      </c>
      <c r="B383" s="266" t="s">
        <v>706</v>
      </c>
      <c r="C383" s="244"/>
      <c r="D383" s="244"/>
      <c r="E383" s="244"/>
      <c r="F383" s="323">
        <f>F384+F388</f>
        <v>39700000</v>
      </c>
      <c r="G383" s="323">
        <f t="shared" ref="G383:O383" si="176">G384+G388</f>
        <v>0</v>
      </c>
      <c r="H383" s="323">
        <f t="shared" si="176"/>
        <v>0</v>
      </c>
      <c r="I383" s="323">
        <f t="shared" si="176"/>
        <v>39700000</v>
      </c>
      <c r="J383" s="323">
        <f t="shared" si="176"/>
        <v>0</v>
      </c>
      <c r="K383" s="323">
        <f t="shared" si="176"/>
        <v>39700000</v>
      </c>
      <c r="L383" s="323">
        <f t="shared" si="176"/>
        <v>0</v>
      </c>
      <c r="M383" s="323">
        <f t="shared" si="176"/>
        <v>0</v>
      </c>
      <c r="N383" s="323">
        <f t="shared" si="176"/>
        <v>0</v>
      </c>
      <c r="O383" s="323">
        <f t="shared" si="176"/>
        <v>0</v>
      </c>
    </row>
    <row r="384" ht="16" customHeight="1" spans="1:15">
      <c r="A384" s="246" t="s">
        <v>707</v>
      </c>
      <c r="B384" s="266" t="s">
        <v>708</v>
      </c>
      <c r="C384" s="244"/>
      <c r="D384" s="244"/>
      <c r="E384" s="244"/>
      <c r="F384" s="323">
        <v>0</v>
      </c>
      <c r="G384" s="323"/>
      <c r="H384" s="323"/>
      <c r="I384" s="323">
        <v>0</v>
      </c>
      <c r="J384" s="324"/>
      <c r="K384" s="325"/>
      <c r="L384" s="272"/>
      <c r="M384" s="272"/>
      <c r="N384" s="272"/>
      <c r="O384" s="272"/>
    </row>
    <row r="385" ht="16.75" customHeight="1" spans="1:15">
      <c r="A385" s="246" t="s">
        <v>411</v>
      </c>
      <c r="B385" s="247" t="s">
        <v>412</v>
      </c>
      <c r="C385" s="244"/>
      <c r="D385" s="244"/>
      <c r="E385" s="244"/>
      <c r="F385" s="323">
        <v>0</v>
      </c>
      <c r="G385" s="323"/>
      <c r="H385" s="323"/>
      <c r="I385" s="323">
        <v>0</v>
      </c>
      <c r="J385" s="324"/>
      <c r="K385" s="325"/>
      <c r="L385" s="272"/>
      <c r="M385" s="272"/>
      <c r="N385" s="272"/>
      <c r="O385" s="272"/>
    </row>
    <row r="386" ht="15.5" customHeight="1" spans="1:15">
      <c r="A386" s="249" t="s">
        <v>579</v>
      </c>
      <c r="B386" s="247" t="s">
        <v>593</v>
      </c>
      <c r="C386" s="244"/>
      <c r="D386" s="244"/>
      <c r="E386" s="244"/>
      <c r="F386" s="326">
        <v>0</v>
      </c>
      <c r="G386" s="326"/>
      <c r="H386" s="326"/>
      <c r="I386" s="326">
        <v>0</v>
      </c>
      <c r="J386" s="281"/>
      <c r="K386" s="350"/>
      <c r="L386" s="272"/>
      <c r="M386" s="272"/>
      <c r="N386" s="272"/>
      <c r="O386" s="272"/>
    </row>
    <row r="387" customHeight="1" spans="1:15">
      <c r="A387" s="251" t="s">
        <v>709</v>
      </c>
      <c r="B387" s="247" t="s">
        <v>710</v>
      </c>
      <c r="C387" s="244"/>
      <c r="D387" s="244"/>
      <c r="E387" s="244"/>
      <c r="F387" s="275">
        <v>0</v>
      </c>
      <c r="G387" s="275"/>
      <c r="H387" s="275"/>
      <c r="I387" s="275">
        <v>0</v>
      </c>
      <c r="J387" s="274">
        <v>0</v>
      </c>
      <c r="K387" s="292"/>
      <c r="L387" s="272"/>
      <c r="M387" s="272"/>
      <c r="N387" s="272"/>
      <c r="O387" s="272"/>
    </row>
    <row r="388" ht="15.25" customHeight="1" spans="1:15">
      <c r="A388" s="246" t="s">
        <v>711</v>
      </c>
      <c r="B388" s="247" t="s">
        <v>712</v>
      </c>
      <c r="C388" s="244"/>
      <c r="D388" s="244"/>
      <c r="E388" s="244"/>
      <c r="F388" s="323">
        <f>F389</f>
        <v>39700000</v>
      </c>
      <c r="G388" s="323">
        <f t="shared" ref="G388:O388" si="177">G389</f>
        <v>0</v>
      </c>
      <c r="H388" s="323">
        <f t="shared" si="177"/>
        <v>0</v>
      </c>
      <c r="I388" s="323">
        <f t="shared" si="177"/>
        <v>39700000</v>
      </c>
      <c r="J388" s="323">
        <f t="shared" si="177"/>
        <v>0</v>
      </c>
      <c r="K388" s="323">
        <f t="shared" si="177"/>
        <v>39700000</v>
      </c>
      <c r="L388" s="323">
        <f t="shared" si="177"/>
        <v>0</v>
      </c>
      <c r="M388" s="323">
        <f t="shared" si="177"/>
        <v>0</v>
      </c>
      <c r="N388" s="323">
        <f t="shared" si="177"/>
        <v>0</v>
      </c>
      <c r="O388" s="323">
        <f t="shared" si="177"/>
        <v>0</v>
      </c>
    </row>
    <row r="389" ht="16.75" customHeight="1" spans="1:15">
      <c r="A389" s="246" t="s">
        <v>479</v>
      </c>
      <c r="B389" s="247" t="s">
        <v>197</v>
      </c>
      <c r="C389" s="244"/>
      <c r="D389" s="244"/>
      <c r="E389" s="244"/>
      <c r="F389" s="323">
        <f>F390</f>
        <v>39700000</v>
      </c>
      <c r="G389" s="323">
        <f t="shared" ref="G389:O389" si="178">G390</f>
        <v>0</v>
      </c>
      <c r="H389" s="323">
        <f t="shared" si="178"/>
        <v>0</v>
      </c>
      <c r="I389" s="323">
        <f t="shared" si="178"/>
        <v>39700000</v>
      </c>
      <c r="J389" s="323">
        <f t="shared" si="178"/>
        <v>0</v>
      </c>
      <c r="K389" s="323">
        <f t="shared" si="178"/>
        <v>39700000</v>
      </c>
      <c r="L389" s="323">
        <f t="shared" si="178"/>
        <v>0</v>
      </c>
      <c r="M389" s="323">
        <f t="shared" si="178"/>
        <v>0</v>
      </c>
      <c r="N389" s="323">
        <f t="shared" si="178"/>
        <v>0</v>
      </c>
      <c r="O389" s="323">
        <f t="shared" si="178"/>
        <v>0</v>
      </c>
    </row>
    <row r="390" ht="15.25" customHeight="1" spans="1:15">
      <c r="A390" s="249" t="s">
        <v>660</v>
      </c>
      <c r="B390" s="247" t="s">
        <v>661</v>
      </c>
      <c r="C390" s="244"/>
      <c r="D390" s="244"/>
      <c r="E390" s="244"/>
      <c r="F390" s="326">
        <f>F391+F392</f>
        <v>39700000</v>
      </c>
      <c r="G390" s="326">
        <f t="shared" ref="G390:O390" si="179">G391+G392</f>
        <v>0</v>
      </c>
      <c r="H390" s="326">
        <f t="shared" si="179"/>
        <v>0</v>
      </c>
      <c r="I390" s="326">
        <f t="shared" si="179"/>
        <v>39700000</v>
      </c>
      <c r="J390" s="326">
        <f t="shared" si="179"/>
        <v>0</v>
      </c>
      <c r="K390" s="326">
        <f t="shared" si="179"/>
        <v>39700000</v>
      </c>
      <c r="L390" s="326">
        <f t="shared" si="179"/>
        <v>0</v>
      </c>
      <c r="M390" s="326">
        <f t="shared" si="179"/>
        <v>0</v>
      </c>
      <c r="N390" s="326">
        <f t="shared" si="179"/>
        <v>0</v>
      </c>
      <c r="O390" s="326">
        <f t="shared" si="179"/>
        <v>0</v>
      </c>
    </row>
    <row r="391" ht="15.5" customHeight="1" spans="1:15">
      <c r="A391" s="251" t="s">
        <v>662</v>
      </c>
      <c r="B391" s="247" t="s">
        <v>663</v>
      </c>
      <c r="C391" s="244"/>
      <c r="D391" s="244"/>
      <c r="E391" s="244"/>
      <c r="F391" s="275">
        <v>4200000</v>
      </c>
      <c r="G391" s="275"/>
      <c r="H391" s="275"/>
      <c r="I391" s="275">
        <v>4200000</v>
      </c>
      <c r="J391" s="274">
        <v>0</v>
      </c>
      <c r="K391" s="275">
        <v>4200000</v>
      </c>
      <c r="L391" s="272"/>
      <c r="M391" s="272"/>
      <c r="N391" s="272"/>
      <c r="O391" s="272"/>
    </row>
    <row r="392" ht="15" customHeight="1" spans="1:15">
      <c r="A392" s="246" t="s">
        <v>664</v>
      </c>
      <c r="B392" s="247" t="s">
        <v>665</v>
      </c>
      <c r="C392" s="244"/>
      <c r="D392" s="244"/>
      <c r="E392" s="244"/>
      <c r="F392" s="275">
        <v>35500000</v>
      </c>
      <c r="G392" s="323"/>
      <c r="H392" s="323"/>
      <c r="I392" s="275">
        <v>35500000</v>
      </c>
      <c r="J392" s="324"/>
      <c r="K392" s="275">
        <v>35500000</v>
      </c>
      <c r="L392" s="272"/>
      <c r="M392" s="272"/>
      <c r="N392" s="272"/>
      <c r="O392" s="272"/>
    </row>
    <row r="393" ht="16.5" customHeight="1" spans="1:15">
      <c r="A393" s="265">
        <v>5</v>
      </c>
      <c r="B393" s="266" t="s">
        <v>713</v>
      </c>
      <c r="C393" s="244"/>
      <c r="D393" s="244"/>
      <c r="E393" s="244"/>
      <c r="F393" s="248">
        <f>F394+F399</f>
        <v>41800000</v>
      </c>
      <c r="G393" s="248">
        <f t="shared" ref="G393:O393" si="180">G394+G399</f>
        <v>0</v>
      </c>
      <c r="H393" s="248">
        <f t="shared" si="180"/>
        <v>0</v>
      </c>
      <c r="I393" s="248">
        <f t="shared" si="180"/>
        <v>32400000</v>
      </c>
      <c r="J393" s="248">
        <f t="shared" si="180"/>
        <v>0</v>
      </c>
      <c r="K393" s="248">
        <f t="shared" si="180"/>
        <v>32400000</v>
      </c>
      <c r="L393" s="248">
        <f t="shared" si="180"/>
        <v>0</v>
      </c>
      <c r="M393" s="248">
        <f t="shared" si="180"/>
        <v>0</v>
      </c>
      <c r="N393" s="248">
        <f t="shared" si="180"/>
        <v>0</v>
      </c>
      <c r="O393" s="248">
        <f t="shared" si="180"/>
        <v>0</v>
      </c>
    </row>
    <row r="394" ht="15.75" customHeight="1" spans="1:15">
      <c r="A394" s="313" t="s">
        <v>714</v>
      </c>
      <c r="B394" s="266" t="s">
        <v>299</v>
      </c>
      <c r="C394" s="244"/>
      <c r="D394" s="244"/>
      <c r="E394" s="244"/>
      <c r="F394" s="323">
        <f>F395</f>
        <v>9400000</v>
      </c>
      <c r="G394" s="323">
        <f t="shared" ref="G394:O394" si="181">G395</f>
        <v>0</v>
      </c>
      <c r="H394" s="323">
        <f t="shared" si="181"/>
        <v>0</v>
      </c>
      <c r="I394" s="323">
        <f t="shared" si="181"/>
        <v>0</v>
      </c>
      <c r="J394" s="323">
        <f t="shared" si="181"/>
        <v>0</v>
      </c>
      <c r="K394" s="323">
        <f t="shared" si="181"/>
        <v>0</v>
      </c>
      <c r="L394" s="323">
        <f t="shared" si="181"/>
        <v>0</v>
      </c>
      <c r="M394" s="323">
        <f t="shared" si="181"/>
        <v>0</v>
      </c>
      <c r="N394" s="323">
        <f t="shared" si="181"/>
        <v>0</v>
      </c>
      <c r="O394" s="323">
        <f t="shared" si="181"/>
        <v>0</v>
      </c>
    </row>
    <row r="395" ht="16" customHeight="1" spans="1:15">
      <c r="A395" s="246" t="s">
        <v>715</v>
      </c>
      <c r="B395" s="266" t="s">
        <v>716</v>
      </c>
      <c r="C395" s="244"/>
      <c r="D395" s="244"/>
      <c r="E395" s="244"/>
      <c r="F395" s="323">
        <f>F396</f>
        <v>9400000</v>
      </c>
      <c r="G395" s="323">
        <f t="shared" ref="G395:O395" si="182">G396</f>
        <v>0</v>
      </c>
      <c r="H395" s="323">
        <f t="shared" si="182"/>
        <v>0</v>
      </c>
      <c r="I395" s="323">
        <f t="shared" si="182"/>
        <v>0</v>
      </c>
      <c r="J395" s="323">
        <f t="shared" si="182"/>
        <v>0</v>
      </c>
      <c r="K395" s="323">
        <f t="shared" si="182"/>
        <v>0</v>
      </c>
      <c r="L395" s="323">
        <f t="shared" si="182"/>
        <v>0</v>
      </c>
      <c r="M395" s="323">
        <f t="shared" si="182"/>
        <v>0</v>
      </c>
      <c r="N395" s="323">
        <f t="shared" si="182"/>
        <v>0</v>
      </c>
      <c r="O395" s="323">
        <f t="shared" si="182"/>
        <v>0</v>
      </c>
    </row>
    <row r="396" ht="16.75" customHeight="1" spans="1:15">
      <c r="A396" s="246" t="s">
        <v>717</v>
      </c>
      <c r="B396" s="247" t="s">
        <v>250</v>
      </c>
      <c r="C396" s="244"/>
      <c r="D396" s="244"/>
      <c r="E396" s="244"/>
      <c r="F396" s="323">
        <f>F397</f>
        <v>9400000</v>
      </c>
      <c r="G396" s="323">
        <f t="shared" ref="G396:O396" si="183">G397</f>
        <v>0</v>
      </c>
      <c r="H396" s="323">
        <f t="shared" si="183"/>
        <v>0</v>
      </c>
      <c r="I396" s="323">
        <f t="shared" si="183"/>
        <v>0</v>
      </c>
      <c r="J396" s="323">
        <f t="shared" si="183"/>
        <v>0</v>
      </c>
      <c r="K396" s="323">
        <f t="shared" si="183"/>
        <v>0</v>
      </c>
      <c r="L396" s="323">
        <f t="shared" si="183"/>
        <v>0</v>
      </c>
      <c r="M396" s="323">
        <f t="shared" si="183"/>
        <v>0</v>
      </c>
      <c r="N396" s="323">
        <f t="shared" si="183"/>
        <v>0</v>
      </c>
      <c r="O396" s="323">
        <f t="shared" si="183"/>
        <v>0</v>
      </c>
    </row>
    <row r="397" ht="15.25" customHeight="1" spans="1:15">
      <c r="A397" s="249" t="s">
        <v>718</v>
      </c>
      <c r="B397" s="247" t="s">
        <v>250</v>
      </c>
      <c r="C397" s="244"/>
      <c r="D397" s="244"/>
      <c r="E397" s="244"/>
      <c r="F397" s="326">
        <f>F398</f>
        <v>9400000</v>
      </c>
      <c r="G397" s="326">
        <f t="shared" ref="G397:O397" si="184">G398</f>
        <v>0</v>
      </c>
      <c r="H397" s="326">
        <f t="shared" si="184"/>
        <v>0</v>
      </c>
      <c r="I397" s="326">
        <f t="shared" si="184"/>
        <v>0</v>
      </c>
      <c r="J397" s="326">
        <f t="shared" si="184"/>
        <v>0</v>
      </c>
      <c r="K397" s="326">
        <f t="shared" si="184"/>
        <v>0</v>
      </c>
      <c r="L397" s="326">
        <f t="shared" si="184"/>
        <v>0</v>
      </c>
      <c r="M397" s="326">
        <f t="shared" si="184"/>
        <v>0</v>
      </c>
      <c r="N397" s="326">
        <f t="shared" si="184"/>
        <v>0</v>
      </c>
      <c r="O397" s="326">
        <f t="shared" si="184"/>
        <v>0</v>
      </c>
    </row>
    <row r="398" ht="15.25" customHeight="1" spans="1:15">
      <c r="A398" s="251" t="s">
        <v>719</v>
      </c>
      <c r="B398" s="247" t="s">
        <v>720</v>
      </c>
      <c r="C398" s="244"/>
      <c r="D398" s="244"/>
      <c r="E398" s="244"/>
      <c r="F398" s="275">
        <v>9400000</v>
      </c>
      <c r="G398" s="275"/>
      <c r="H398" s="275"/>
      <c r="I398" s="275">
        <v>0</v>
      </c>
      <c r="J398" s="274"/>
      <c r="K398" s="292">
        <v>0</v>
      </c>
      <c r="L398" s="272"/>
      <c r="M398" s="272"/>
      <c r="N398" s="272"/>
      <c r="O398" s="272"/>
    </row>
    <row r="399" ht="15" customHeight="1" spans="1:16">
      <c r="A399" s="246" t="s">
        <v>721</v>
      </c>
      <c r="B399" s="247" t="s">
        <v>722</v>
      </c>
      <c r="C399" s="244"/>
      <c r="D399" s="244"/>
      <c r="E399" s="244"/>
      <c r="F399" s="248">
        <f>F400</f>
        <v>32400000</v>
      </c>
      <c r="G399" s="248">
        <f t="shared" ref="G399:P399" si="185">G400</f>
        <v>0</v>
      </c>
      <c r="H399" s="248">
        <f t="shared" si="185"/>
        <v>0</v>
      </c>
      <c r="I399" s="248">
        <f t="shared" si="185"/>
        <v>32400000</v>
      </c>
      <c r="J399" s="248">
        <f t="shared" si="185"/>
        <v>0</v>
      </c>
      <c r="K399" s="248">
        <f t="shared" si="185"/>
        <v>32400000</v>
      </c>
      <c r="L399" s="248">
        <f t="shared" si="185"/>
        <v>0</v>
      </c>
      <c r="M399" s="248">
        <f t="shared" si="185"/>
        <v>0</v>
      </c>
      <c r="N399" s="248">
        <f t="shared" si="185"/>
        <v>0</v>
      </c>
      <c r="O399" s="248">
        <f t="shared" si="185"/>
        <v>0</v>
      </c>
      <c r="P399" s="248"/>
    </row>
    <row r="400" ht="16" customHeight="1" spans="1:15">
      <c r="A400" s="246" t="s">
        <v>723</v>
      </c>
      <c r="B400" s="247" t="s">
        <v>724</v>
      </c>
      <c r="C400" s="244"/>
      <c r="D400" s="244"/>
      <c r="E400" s="244"/>
      <c r="F400" s="248">
        <f>F401</f>
        <v>32400000</v>
      </c>
      <c r="G400" s="248"/>
      <c r="H400" s="248"/>
      <c r="I400" s="248">
        <f t="shared" ref="I399:O402" si="186">I401</f>
        <v>32400000</v>
      </c>
      <c r="J400" s="248"/>
      <c r="K400" s="276">
        <f t="shared" si="186"/>
        <v>32400000</v>
      </c>
      <c r="L400" s="277">
        <f t="shared" si="186"/>
        <v>0</v>
      </c>
      <c r="M400" s="277">
        <f t="shared" si="186"/>
        <v>0</v>
      </c>
      <c r="N400" s="277">
        <f t="shared" si="186"/>
        <v>0</v>
      </c>
      <c r="O400" s="277">
        <f t="shared" si="186"/>
        <v>0</v>
      </c>
    </row>
    <row r="401" ht="16.75" customHeight="1" spans="1:16">
      <c r="A401" s="246" t="s">
        <v>717</v>
      </c>
      <c r="B401" s="247" t="s">
        <v>250</v>
      </c>
      <c r="C401" s="244"/>
      <c r="D401" s="244"/>
      <c r="E401" s="244"/>
      <c r="F401" s="248">
        <f>F402</f>
        <v>32400000</v>
      </c>
      <c r="G401" s="248"/>
      <c r="H401" s="248"/>
      <c r="I401" s="248">
        <f t="shared" si="186"/>
        <v>32400000</v>
      </c>
      <c r="J401" s="248"/>
      <c r="K401" s="276">
        <f t="shared" si="186"/>
        <v>32400000</v>
      </c>
      <c r="L401" s="277">
        <f t="shared" si="186"/>
        <v>0</v>
      </c>
      <c r="M401" s="277">
        <f t="shared" si="186"/>
        <v>0</v>
      </c>
      <c r="N401" s="277">
        <f t="shared" si="186"/>
        <v>0</v>
      </c>
      <c r="O401" s="277">
        <f t="shared" si="186"/>
        <v>0</v>
      </c>
      <c r="P401" s="291"/>
    </row>
    <row r="402" ht="15.25" customHeight="1" spans="1:15">
      <c r="A402" s="249" t="s">
        <v>718</v>
      </c>
      <c r="B402" s="247" t="s">
        <v>250</v>
      </c>
      <c r="C402" s="244"/>
      <c r="D402" s="244"/>
      <c r="E402" s="244"/>
      <c r="F402" s="250">
        <f>F403</f>
        <v>32400000</v>
      </c>
      <c r="G402" s="250"/>
      <c r="H402" s="250"/>
      <c r="I402" s="250">
        <f t="shared" si="186"/>
        <v>32400000</v>
      </c>
      <c r="J402" s="250"/>
      <c r="K402" s="278">
        <f t="shared" si="186"/>
        <v>32400000</v>
      </c>
      <c r="L402" s="279">
        <f t="shared" si="186"/>
        <v>0</v>
      </c>
      <c r="M402" s="279">
        <f t="shared" si="186"/>
        <v>0</v>
      </c>
      <c r="N402" s="279">
        <f t="shared" si="186"/>
        <v>0</v>
      </c>
      <c r="O402" s="279">
        <f t="shared" si="186"/>
        <v>0</v>
      </c>
    </row>
    <row r="403" ht="16.75" customHeight="1" spans="1:15">
      <c r="A403" s="251" t="s">
        <v>719</v>
      </c>
      <c r="B403" s="327" t="s">
        <v>720</v>
      </c>
      <c r="C403" s="328"/>
      <c r="D403" s="328"/>
      <c r="E403" s="328"/>
      <c r="F403" s="329">
        <v>32400000</v>
      </c>
      <c r="G403" s="329"/>
      <c r="H403" s="329"/>
      <c r="I403" s="329">
        <v>32400000</v>
      </c>
      <c r="J403" s="351">
        <v>100</v>
      </c>
      <c r="K403" s="329">
        <v>32400000</v>
      </c>
      <c r="L403" s="302"/>
      <c r="M403" s="272"/>
      <c r="N403" s="272"/>
      <c r="O403" s="272"/>
    </row>
    <row r="404" ht="16.25" customHeight="1" spans="1:18">
      <c r="A404" s="245"/>
      <c r="B404" s="330" t="s">
        <v>90</v>
      </c>
      <c r="C404" s="331"/>
      <c r="D404" s="332"/>
      <c r="E404" s="332"/>
      <c r="F404" s="331">
        <f t="shared" ref="F404:O404" si="187">F36+F212+F328+F382+F393</f>
        <v>2484783092</v>
      </c>
      <c r="G404" s="331">
        <f t="shared" si="187"/>
        <v>0</v>
      </c>
      <c r="H404" s="331">
        <f t="shared" si="187"/>
        <v>0</v>
      </c>
      <c r="I404" s="331">
        <f t="shared" si="187"/>
        <v>1792180051</v>
      </c>
      <c r="J404" s="331">
        <f t="shared" si="187"/>
        <v>1900</v>
      </c>
      <c r="K404" s="331">
        <f t="shared" si="187"/>
        <v>822383500</v>
      </c>
      <c r="L404" s="331">
        <f t="shared" si="187"/>
        <v>816481602</v>
      </c>
      <c r="M404" s="331">
        <f t="shared" si="187"/>
        <v>18044750</v>
      </c>
      <c r="N404" s="331">
        <f t="shared" si="187"/>
        <v>135270199</v>
      </c>
      <c r="O404" s="331">
        <f t="shared" si="187"/>
        <v>0</v>
      </c>
      <c r="Q404" s="331">
        <f>I404</f>
        <v>1792180051</v>
      </c>
      <c r="R404" s="331"/>
    </row>
    <row r="405" ht="6.75" customHeight="1" spans="1:17">
      <c r="A405" s="333"/>
      <c r="B405" s="334"/>
      <c r="C405" s="335"/>
      <c r="D405" s="335"/>
      <c r="E405" s="335"/>
      <c r="F405" s="335"/>
      <c r="G405" s="335"/>
      <c r="H405" s="335"/>
      <c r="I405" s="335"/>
      <c r="J405" s="335"/>
      <c r="K405" s="352"/>
      <c r="L405" s="272"/>
      <c r="M405" s="272"/>
      <c r="N405" s="272"/>
      <c r="O405" s="272"/>
      <c r="Q405" s="295"/>
    </row>
    <row r="406" ht="15.75" customHeight="1" spans="1:17">
      <c r="A406" s="245"/>
      <c r="B406" s="336" t="s">
        <v>725</v>
      </c>
      <c r="C406" s="337"/>
      <c r="D406" s="337"/>
      <c r="E406" s="337"/>
      <c r="F406" s="338">
        <f>F33-F404</f>
        <v>-37471992</v>
      </c>
      <c r="G406" s="338">
        <f t="shared" ref="G406:K406" si="188">G33-G404</f>
        <v>0</v>
      </c>
      <c r="H406" s="338">
        <f t="shared" si="188"/>
        <v>0</v>
      </c>
      <c r="I406" s="338">
        <f t="shared" si="188"/>
        <v>93108560</v>
      </c>
      <c r="J406" s="338">
        <f t="shared" si="188"/>
        <v>-1900</v>
      </c>
      <c r="K406" s="353">
        <f t="shared" si="188"/>
        <v>-822383500</v>
      </c>
      <c r="L406" s="272"/>
      <c r="M406" s="272"/>
      <c r="N406" s="272"/>
      <c r="O406" s="272"/>
      <c r="Q406" s="295"/>
    </row>
    <row r="407" ht="23" customHeight="1" spans="1:17">
      <c r="A407" s="262">
        <v>6</v>
      </c>
      <c r="B407" s="339" t="s">
        <v>92</v>
      </c>
      <c r="C407" s="299"/>
      <c r="D407" s="299"/>
      <c r="E407" s="299"/>
      <c r="F407" s="264"/>
      <c r="G407" s="264"/>
      <c r="H407" s="264"/>
      <c r="I407" s="264"/>
      <c r="J407" s="264"/>
      <c r="K407" s="290"/>
      <c r="L407" s="272"/>
      <c r="M407" s="272"/>
      <c r="N407" s="272"/>
      <c r="O407" s="272"/>
      <c r="Q407" s="295"/>
    </row>
    <row r="408" ht="15.5" customHeight="1" spans="1:17">
      <c r="A408" s="262"/>
      <c r="B408" s="339" t="s">
        <v>726</v>
      </c>
      <c r="C408" s="299"/>
      <c r="D408" s="299"/>
      <c r="E408" s="299"/>
      <c r="F408" s="340">
        <f>F409</f>
        <v>37471992</v>
      </c>
      <c r="G408" s="340">
        <f t="shared" ref="G408:K408" si="189">G409</f>
        <v>0</v>
      </c>
      <c r="H408" s="340">
        <f t="shared" si="189"/>
        <v>0</v>
      </c>
      <c r="I408" s="340">
        <f t="shared" si="189"/>
        <v>37471992</v>
      </c>
      <c r="J408" s="340">
        <f t="shared" si="189"/>
        <v>0</v>
      </c>
      <c r="K408" s="354">
        <f t="shared" si="189"/>
        <v>0</v>
      </c>
      <c r="L408" s="272"/>
      <c r="M408" s="272"/>
      <c r="N408" s="272"/>
      <c r="O408" s="272"/>
      <c r="Q408" s="295"/>
    </row>
    <row r="409" ht="15.5" customHeight="1" spans="1:15">
      <c r="A409" s="262"/>
      <c r="B409" s="339" t="s">
        <v>727</v>
      </c>
      <c r="C409" s="299"/>
      <c r="D409" s="299"/>
      <c r="E409" s="299"/>
      <c r="F409" s="340">
        <f>F410</f>
        <v>37471992</v>
      </c>
      <c r="G409" s="340">
        <f t="shared" ref="G409:K409" si="190">G410</f>
        <v>0</v>
      </c>
      <c r="H409" s="340">
        <f t="shared" si="190"/>
        <v>0</v>
      </c>
      <c r="I409" s="340">
        <f t="shared" si="190"/>
        <v>37471992</v>
      </c>
      <c r="J409" s="340">
        <f t="shared" si="190"/>
        <v>0</v>
      </c>
      <c r="K409" s="354">
        <f t="shared" si="190"/>
        <v>0</v>
      </c>
      <c r="L409" s="272"/>
      <c r="M409" s="272"/>
      <c r="N409" s="272"/>
      <c r="O409" s="272"/>
    </row>
    <row r="410" ht="15.5" customHeight="1" spans="1:15">
      <c r="A410" s="262"/>
      <c r="B410" s="339" t="s">
        <v>728</v>
      </c>
      <c r="C410" s="299"/>
      <c r="D410" s="299"/>
      <c r="E410" s="299"/>
      <c r="F410" s="340">
        <v>37471992</v>
      </c>
      <c r="G410" s="340"/>
      <c r="H410" s="340"/>
      <c r="I410" s="340">
        <v>37471992</v>
      </c>
      <c r="J410" s="340"/>
      <c r="K410" s="354"/>
      <c r="L410" s="272"/>
      <c r="M410" s="272"/>
      <c r="N410" s="272"/>
      <c r="O410" s="272"/>
    </row>
    <row r="411" ht="15.5" customHeight="1" spans="1:17">
      <c r="A411" s="262"/>
      <c r="B411" s="339" t="s">
        <v>94</v>
      </c>
      <c r="C411" s="299"/>
      <c r="D411" s="299"/>
      <c r="E411" s="299"/>
      <c r="F411" s="340">
        <f>F412</f>
        <v>0</v>
      </c>
      <c r="G411" s="340">
        <f t="shared" ref="G411:K411" si="191">G412</f>
        <v>0</v>
      </c>
      <c r="H411" s="340">
        <f t="shared" si="191"/>
        <v>0</v>
      </c>
      <c r="I411" s="340">
        <f t="shared" si="191"/>
        <v>0</v>
      </c>
      <c r="J411" s="340">
        <f t="shared" si="191"/>
        <v>0</v>
      </c>
      <c r="K411" s="354">
        <f t="shared" si="191"/>
        <v>0</v>
      </c>
      <c r="L411" s="272"/>
      <c r="M411" s="272"/>
      <c r="N411" s="272"/>
      <c r="O411" s="272"/>
      <c r="Q411" s="295"/>
    </row>
    <row r="412" ht="15.5" customHeight="1" spans="1:17">
      <c r="A412" s="243"/>
      <c r="B412" s="341" t="s">
        <v>57</v>
      </c>
      <c r="C412" s="342"/>
      <c r="D412" s="342"/>
      <c r="E412" s="342"/>
      <c r="F412" s="343">
        <f>F413</f>
        <v>0</v>
      </c>
      <c r="G412" s="343">
        <f t="shared" ref="G412:K412" si="192">G413</f>
        <v>0</v>
      </c>
      <c r="H412" s="343">
        <f t="shared" si="192"/>
        <v>0</v>
      </c>
      <c r="I412" s="343">
        <f t="shared" si="192"/>
        <v>0</v>
      </c>
      <c r="J412" s="343">
        <f t="shared" si="192"/>
        <v>0</v>
      </c>
      <c r="K412" s="355">
        <f t="shared" si="192"/>
        <v>0</v>
      </c>
      <c r="L412" s="272"/>
      <c r="M412" s="272"/>
      <c r="N412" s="272"/>
      <c r="O412" s="272"/>
      <c r="Q412" s="295"/>
    </row>
    <row r="413" ht="15.5" customHeight="1" spans="1:15">
      <c r="A413" s="328"/>
      <c r="B413" s="344" t="s">
        <v>729</v>
      </c>
      <c r="C413" s="257"/>
      <c r="D413" s="257"/>
      <c r="E413" s="257"/>
      <c r="F413" s="345"/>
      <c r="G413" s="345"/>
      <c r="H413" s="345"/>
      <c r="I413" s="345"/>
      <c r="J413" s="356"/>
      <c r="K413" s="357"/>
      <c r="L413" s="272"/>
      <c r="M413" s="272"/>
      <c r="N413" s="272"/>
      <c r="O413" s="272"/>
    </row>
    <row r="414" ht="15.5" customHeight="1" spans="1:15">
      <c r="A414" s="328"/>
      <c r="B414" s="346" t="s">
        <v>95</v>
      </c>
      <c r="C414" s="257"/>
      <c r="D414" s="257"/>
      <c r="E414" s="257"/>
      <c r="F414" s="345">
        <f>F408-F411</f>
        <v>37471992</v>
      </c>
      <c r="G414" s="345">
        <f t="shared" ref="G414:K414" si="193">G408-G411</f>
        <v>0</v>
      </c>
      <c r="H414" s="345">
        <f t="shared" si="193"/>
        <v>0</v>
      </c>
      <c r="I414" s="345">
        <f t="shared" si="193"/>
        <v>37471992</v>
      </c>
      <c r="J414" s="345">
        <f t="shared" si="193"/>
        <v>0</v>
      </c>
      <c r="K414" s="358">
        <f t="shared" si="193"/>
        <v>0</v>
      </c>
      <c r="L414" s="272"/>
      <c r="M414" s="272"/>
      <c r="N414" s="272"/>
      <c r="O414" s="272"/>
    </row>
    <row r="415" ht="15.5" customHeight="1" spans="1:15">
      <c r="A415" s="347"/>
      <c r="B415" s="224" t="s">
        <v>730</v>
      </c>
      <c r="C415" s="348"/>
      <c r="D415" s="348"/>
      <c r="E415" s="348"/>
      <c r="F415" s="345"/>
      <c r="G415" s="345"/>
      <c r="H415" s="345"/>
      <c r="I415" s="345">
        <f>I406+I414</f>
        <v>130580552</v>
      </c>
      <c r="J415" s="356"/>
      <c r="K415" s="358"/>
      <c r="L415" s="272"/>
      <c r="M415" s="272"/>
      <c r="N415" s="272"/>
      <c r="O415" s="272"/>
    </row>
    <row r="416" ht="9" customHeight="1" spans="1:12">
      <c r="A416" s="349"/>
      <c r="B416" s="349"/>
      <c r="C416" s="349"/>
      <c r="D416" s="349"/>
      <c r="E416" s="349"/>
      <c r="F416" s="349"/>
      <c r="G416" s="349"/>
      <c r="H416" s="349"/>
      <c r="I416" s="349"/>
      <c r="J416" s="349"/>
      <c r="K416" s="349"/>
      <c r="L416" s="349"/>
    </row>
    <row r="417" ht="9" customHeight="1" spans="1:12">
      <c r="A417" s="349"/>
      <c r="B417" s="349"/>
      <c r="C417" s="349"/>
      <c r="D417" s="349"/>
      <c r="E417" s="349"/>
      <c r="F417" s="349"/>
      <c r="G417" s="349"/>
      <c r="H417" s="349"/>
      <c r="I417" s="349"/>
      <c r="J417" s="349"/>
      <c r="K417" s="349"/>
      <c r="L417" s="349"/>
    </row>
    <row r="418" ht="9" customHeight="1" spans="1:12">
      <c r="A418" s="349"/>
      <c r="B418" s="349"/>
      <c r="C418" s="349"/>
      <c r="D418" s="349"/>
      <c r="E418" s="349"/>
      <c r="F418" s="349"/>
      <c r="G418" s="349"/>
      <c r="H418" s="349"/>
      <c r="I418" s="349"/>
      <c r="J418" s="349"/>
      <c r="K418" s="349"/>
      <c r="L418" s="349"/>
    </row>
    <row r="419" ht="2" customHeight="1"/>
    <row r="422" spans="2:7">
      <c r="B422" s="226" t="s">
        <v>731</v>
      </c>
      <c r="G422" s="224" t="s">
        <v>732</v>
      </c>
    </row>
    <row r="423" spans="2:7">
      <c r="B423" s="226" t="s">
        <v>733</v>
      </c>
      <c r="G423" s="224" t="s">
        <v>734</v>
      </c>
    </row>
    <row r="429" s="223" customFormat="1" spans="2:7">
      <c r="B429" s="227" t="s">
        <v>325</v>
      </c>
      <c r="G429" s="223" t="s">
        <v>735</v>
      </c>
    </row>
  </sheetData>
  <mergeCells count="12">
    <mergeCell ref="A8:L8"/>
    <mergeCell ref="A9:L9"/>
    <mergeCell ref="D10:F10"/>
    <mergeCell ref="G10:I10"/>
    <mergeCell ref="K10:N10"/>
    <mergeCell ref="A416:L416"/>
    <mergeCell ref="A417:L417"/>
    <mergeCell ref="A418:L418"/>
    <mergeCell ref="A10:A11"/>
    <mergeCell ref="A412:A413"/>
    <mergeCell ref="B10:B11"/>
    <mergeCell ref="C10:C11"/>
  </mergeCells>
  <pageMargins left="0.31496062992126" right="1.10236220472441" top="0.354330708661417" bottom="0.15748031496063" header="0.31496062992126" footer="0.31496062992126"/>
  <pageSetup paperSize="5" scale="85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30"/>
  <sheetViews>
    <sheetView workbookViewId="0">
      <selection activeCell="A1" sqref="$A1:$XFD1048576"/>
    </sheetView>
  </sheetViews>
  <sheetFormatPr defaultColWidth="9" defaultRowHeight="13"/>
  <cols>
    <col min="1" max="1" width="4.54545454545455" style="1" customWidth="1"/>
    <col min="2" max="2" width="6.81818181818182" style="1" customWidth="1"/>
    <col min="3" max="3" width="11.7272727272727" style="1" customWidth="1"/>
    <col min="4" max="4" width="16.9090909090909" style="1" customWidth="1"/>
    <col min="5" max="5" width="9" style="1"/>
    <col min="6" max="6" width="6.63636363636364" style="1" customWidth="1"/>
    <col min="7" max="7" width="9.09090909090909" style="1" customWidth="1"/>
    <col min="8" max="8" width="20.3636363636364" style="1" customWidth="1"/>
    <col min="9" max="9" width="11.2727272727273" style="1" customWidth="1"/>
    <col min="10" max="16384" width="9" style="1"/>
  </cols>
  <sheetData>
    <row r="1" spans="5:5">
      <c r="E1" s="5" t="s">
        <v>326</v>
      </c>
    </row>
    <row r="2" spans="5:5">
      <c r="E2" s="5" t="s">
        <v>736</v>
      </c>
    </row>
    <row r="3" spans="5:5">
      <c r="E3" s="5" t="s">
        <v>737</v>
      </c>
    </row>
    <row r="4" spans="5:5">
      <c r="E4" s="5" t="s">
        <v>3</v>
      </c>
    </row>
    <row r="5" spans="5:5">
      <c r="E5" s="5" t="s">
        <v>328</v>
      </c>
    </row>
    <row r="6" spans="5:5">
      <c r="E6" s="5" t="s">
        <v>738</v>
      </c>
    </row>
    <row r="7" spans="5:5">
      <c r="E7" s="5" t="s">
        <v>67</v>
      </c>
    </row>
    <row r="8" spans="4:5">
      <c r="D8" s="6"/>
      <c r="E8" s="2"/>
    </row>
    <row r="9" spans="1:9">
      <c r="A9" s="7" t="s">
        <v>739</v>
      </c>
      <c r="B9" s="7"/>
      <c r="C9" s="7"/>
      <c r="D9" s="7"/>
      <c r="E9" s="7"/>
      <c r="F9" s="7"/>
      <c r="G9" s="7"/>
      <c r="H9" s="7"/>
      <c r="I9" s="7"/>
    </row>
    <row r="10" spans="1:9">
      <c r="A10" s="7" t="s">
        <v>740</v>
      </c>
      <c r="B10" s="7"/>
      <c r="C10" s="7"/>
      <c r="D10" s="7"/>
      <c r="E10" s="7"/>
      <c r="F10" s="7"/>
      <c r="G10" s="7"/>
      <c r="H10" s="7"/>
      <c r="I10" s="7"/>
    </row>
    <row r="12" spans="1:3">
      <c r="A12" s="8" t="s">
        <v>741</v>
      </c>
      <c r="B12" s="8"/>
      <c r="C12" s="8" t="s">
        <v>742</v>
      </c>
    </row>
    <row r="13" spans="1:3">
      <c r="A13" s="8" t="s">
        <v>743</v>
      </c>
      <c r="B13" s="8"/>
      <c r="C13" s="8" t="s">
        <v>744</v>
      </c>
    </row>
    <row r="14" spans="1:3">
      <c r="A14" s="8" t="s">
        <v>745</v>
      </c>
      <c r="B14" s="8"/>
      <c r="C14" s="8" t="s">
        <v>746</v>
      </c>
    </row>
    <row r="15" spans="1:3">
      <c r="A15" s="8" t="s">
        <v>747</v>
      </c>
      <c r="B15" s="8"/>
      <c r="C15" s="8" t="s">
        <v>748</v>
      </c>
    </row>
    <row r="17" s="2" customFormat="1" ht="30" customHeight="1" spans="1:9">
      <c r="A17" s="9" t="s">
        <v>749</v>
      </c>
      <c r="B17" s="10" t="s">
        <v>750</v>
      </c>
      <c r="C17" s="11"/>
      <c r="D17" s="12" t="s">
        <v>751</v>
      </c>
      <c r="E17" s="13"/>
      <c r="F17" s="13"/>
      <c r="G17" s="14"/>
      <c r="H17" s="12" t="s">
        <v>340</v>
      </c>
      <c r="I17" s="14"/>
    </row>
    <row r="18" s="2" customFormat="1" ht="26" spans="1:9">
      <c r="A18" s="9"/>
      <c r="B18" s="15"/>
      <c r="C18" s="16"/>
      <c r="D18" s="9" t="s">
        <v>752</v>
      </c>
      <c r="E18" s="17" t="s">
        <v>753</v>
      </c>
      <c r="F18" s="17" t="s">
        <v>338</v>
      </c>
      <c r="G18" s="17" t="s">
        <v>339</v>
      </c>
      <c r="H18" s="17" t="s">
        <v>754</v>
      </c>
      <c r="I18" s="17" t="s">
        <v>337</v>
      </c>
    </row>
    <row r="19" s="3" customFormat="1" ht="70" customHeight="1" spans="1:10">
      <c r="A19" s="18">
        <v>1</v>
      </c>
      <c r="B19" s="19" t="s">
        <v>755</v>
      </c>
      <c r="C19" s="19"/>
      <c r="D19" s="20" t="s">
        <v>756</v>
      </c>
      <c r="E19" s="19" t="s">
        <v>757</v>
      </c>
      <c r="F19" s="19">
        <v>1</v>
      </c>
      <c r="G19" s="19" t="s">
        <v>758</v>
      </c>
      <c r="H19" s="21">
        <v>500000000</v>
      </c>
      <c r="I19" s="19" t="s">
        <v>759</v>
      </c>
      <c r="J19" s="4"/>
    </row>
    <row r="20" s="4" customFormat="1" ht="48.75" customHeight="1" spans="1:9">
      <c r="A20" s="22">
        <v>2</v>
      </c>
      <c r="B20" s="19" t="s">
        <v>760</v>
      </c>
      <c r="C20" s="19"/>
      <c r="D20" s="19" t="s">
        <v>761</v>
      </c>
      <c r="E20" s="22" t="s">
        <v>762</v>
      </c>
      <c r="F20" s="22"/>
      <c r="G20" s="22"/>
      <c r="H20" s="23">
        <v>7000000000000</v>
      </c>
      <c r="I20" s="19" t="s">
        <v>763</v>
      </c>
    </row>
    <row r="21" s="4" customFormat="1" ht="47" customHeight="1" spans="1:14">
      <c r="A21" s="22">
        <v>3</v>
      </c>
      <c r="B21" s="24" t="s">
        <v>764</v>
      </c>
      <c r="C21" s="20"/>
      <c r="D21" s="19" t="s">
        <v>765</v>
      </c>
      <c r="E21" s="19" t="s">
        <v>766</v>
      </c>
      <c r="F21" s="19">
        <v>5</v>
      </c>
      <c r="G21" s="19" t="s">
        <v>758</v>
      </c>
      <c r="H21" s="25">
        <v>40000000</v>
      </c>
      <c r="I21" s="19" t="s">
        <v>767</v>
      </c>
      <c r="N21" s="26"/>
    </row>
    <row r="25" spans="6:6">
      <c r="F25" s="1" t="s">
        <v>733</v>
      </c>
    </row>
    <row r="30" spans="6:6">
      <c r="F30" s="2" t="s">
        <v>325</v>
      </c>
    </row>
  </sheetData>
  <mergeCells count="9">
    <mergeCell ref="A9:I9"/>
    <mergeCell ref="A10:I10"/>
    <mergeCell ref="D17:G17"/>
    <mergeCell ref="H17:I17"/>
    <mergeCell ref="B19:C19"/>
    <mergeCell ref="B20:C20"/>
    <mergeCell ref="B21:C21"/>
    <mergeCell ref="A17:A18"/>
    <mergeCell ref="B17:C18"/>
  </mergeCells>
  <pageMargins left="0.196527777777778" right="0" top="0.196527777777778" bottom="0" header="0.314583333333333" footer="0.314583333333333"/>
  <pageSetup paperSize="5" scale="65" orientation="portrait" horizontalDpi="1200" verticalDpi="12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3"/>
  <sheetViews>
    <sheetView topLeftCell="A133" workbookViewId="0">
      <selection activeCell="M3" sqref="M3"/>
    </sheetView>
  </sheetViews>
  <sheetFormatPr defaultColWidth="9" defaultRowHeight="13"/>
  <cols>
    <col min="1" max="1" width="3.37272727272727" style="27" customWidth="1"/>
    <col min="2" max="2" width="3" style="27" customWidth="1"/>
    <col min="3" max="3" width="36.6272727272727" style="27" customWidth="1"/>
    <col min="4" max="4" width="5.5" style="27" customWidth="1"/>
    <col min="5" max="5" width="6.62727272727273" style="27" customWidth="1"/>
    <col min="6" max="6" width="8.25454545454545" style="27" customWidth="1"/>
    <col min="7" max="7" width="9.5" style="27" customWidth="1"/>
    <col min="8" max="8" width="8.37272727272727" style="142" customWidth="1"/>
    <col min="9" max="9" width="16.7545454545455" style="29" customWidth="1"/>
    <col min="10" max="10" width="7.87272727272727" style="27" customWidth="1"/>
    <col min="11" max="11" width="9.25454545454545" style="27" customWidth="1"/>
    <col min="12" max="12" width="9" style="27"/>
    <col min="13" max="13" width="18.1272727272727" style="29" customWidth="1"/>
    <col min="14" max="16384" width="9" style="27"/>
  </cols>
  <sheetData>
    <row r="1" s="27" customFormat="1" spans="1:13">
      <c r="A1" s="143" t="s">
        <v>768</v>
      </c>
      <c r="B1" s="144"/>
      <c r="C1" s="145"/>
      <c r="D1" s="146"/>
      <c r="E1" s="146"/>
      <c r="F1" s="146"/>
      <c r="G1" s="146"/>
      <c r="H1" s="147"/>
      <c r="I1" s="173"/>
      <c r="J1" s="146"/>
      <c r="K1" s="146"/>
      <c r="M1" s="29"/>
    </row>
    <row r="2" s="27" customFormat="1" spans="1:13">
      <c r="A2" s="147" t="s">
        <v>98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M2" s="29"/>
    </row>
    <row r="3" s="27" customFormat="1" spans="1:13">
      <c r="A3" s="147" t="s">
        <v>769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M3" s="29"/>
    </row>
    <row r="4" s="27" customFormat="1" spans="1:13">
      <c r="A4" s="147" t="s">
        <v>770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M4" s="29"/>
    </row>
    <row r="5" s="27" customFormat="1" ht="9" customHeight="1" spans="1:13">
      <c r="A5" s="143"/>
      <c r="B5" s="144"/>
      <c r="C5" s="148"/>
      <c r="D5" s="148"/>
      <c r="E5" s="148"/>
      <c r="F5" s="148"/>
      <c r="G5" s="143"/>
      <c r="H5" s="144"/>
      <c r="I5" s="174"/>
      <c r="J5" s="144"/>
      <c r="K5" s="144"/>
      <c r="M5" s="29"/>
    </row>
    <row r="6" s="27" customFormat="1" spans="1:13">
      <c r="A6" s="149" t="s">
        <v>771</v>
      </c>
      <c r="B6" s="150" t="s">
        <v>772</v>
      </c>
      <c r="C6" s="150"/>
      <c r="D6" s="151" t="s">
        <v>773</v>
      </c>
      <c r="E6" s="151"/>
      <c r="F6" s="151"/>
      <c r="G6" s="150" t="s">
        <v>774</v>
      </c>
      <c r="H6" s="150" t="s">
        <v>775</v>
      </c>
      <c r="I6" s="175" t="s">
        <v>776</v>
      </c>
      <c r="J6" s="150" t="s">
        <v>777</v>
      </c>
      <c r="K6" s="150" t="s">
        <v>778</v>
      </c>
      <c r="M6" s="29"/>
    </row>
    <row r="7" s="27" customFormat="1" spans="1:13">
      <c r="A7" s="149"/>
      <c r="B7" s="150"/>
      <c r="C7" s="150"/>
      <c r="D7" s="152" t="s">
        <v>779</v>
      </c>
      <c r="E7" s="152" t="s">
        <v>780</v>
      </c>
      <c r="F7" s="152" t="s">
        <v>781</v>
      </c>
      <c r="G7" s="150"/>
      <c r="H7" s="150"/>
      <c r="I7" s="176"/>
      <c r="J7" s="150"/>
      <c r="K7" s="150"/>
      <c r="M7" s="29"/>
    </row>
    <row r="8" s="27" customFormat="1" spans="1:13">
      <c r="A8" s="49" t="s">
        <v>782</v>
      </c>
      <c r="B8" s="153" t="s">
        <v>314</v>
      </c>
      <c r="C8" s="154"/>
      <c r="D8" s="155"/>
      <c r="E8" s="155"/>
      <c r="F8" s="155"/>
      <c r="G8" s="74"/>
      <c r="H8" s="150"/>
      <c r="I8" s="46"/>
      <c r="J8" s="177"/>
      <c r="K8" s="150"/>
      <c r="M8" s="29"/>
    </row>
    <row r="9" s="27" customFormat="1" ht="39" spans="1:13">
      <c r="A9" s="54"/>
      <c r="B9" s="74"/>
      <c r="C9" s="156" t="s">
        <v>783</v>
      </c>
      <c r="D9" s="155"/>
      <c r="E9" s="155"/>
      <c r="F9" s="155"/>
      <c r="G9" s="74"/>
      <c r="H9" s="150"/>
      <c r="I9" s="506" t="s">
        <v>784</v>
      </c>
      <c r="J9" s="177"/>
      <c r="K9" s="150" t="str">
        <f>'[9]ASET 2022'!F8</f>
        <v>Koreksi DPMKP2KB</v>
      </c>
      <c r="M9" s="29"/>
    </row>
    <row r="10" s="27" customFormat="1" spans="1:13">
      <c r="A10" s="54"/>
      <c r="B10" s="74"/>
      <c r="C10" s="156" t="s">
        <v>785</v>
      </c>
      <c r="D10" s="79"/>
      <c r="E10" s="74"/>
      <c r="F10" s="74"/>
      <c r="G10" s="74"/>
      <c r="H10" s="157"/>
      <c r="I10" s="62"/>
      <c r="J10" s="177"/>
      <c r="K10" s="150"/>
      <c r="M10" s="29"/>
    </row>
    <row r="11" s="27" customFormat="1" spans="1:13">
      <c r="A11" s="149" t="s">
        <v>14</v>
      </c>
      <c r="B11" s="158" t="s">
        <v>315</v>
      </c>
      <c r="C11" s="159"/>
      <c r="D11" s="159"/>
      <c r="E11" s="159"/>
      <c r="F11" s="159"/>
      <c r="G11" s="159"/>
      <c r="H11" s="160"/>
      <c r="I11" s="178">
        <f>I12+I14+I37+I45+I64</f>
        <v>501643560</v>
      </c>
      <c r="J11" s="179"/>
      <c r="K11" s="152"/>
      <c r="M11" s="29"/>
    </row>
    <row r="12" s="27" customFormat="1" spans="1:13">
      <c r="A12" s="149"/>
      <c r="B12" s="152" t="s">
        <v>22</v>
      </c>
      <c r="C12" s="158" t="s">
        <v>786</v>
      </c>
      <c r="D12" s="159"/>
      <c r="E12" s="159"/>
      <c r="F12" s="159"/>
      <c r="G12" s="159"/>
      <c r="H12" s="160"/>
      <c r="I12" s="180">
        <f>I13</f>
        <v>47000000</v>
      </c>
      <c r="J12" s="152"/>
      <c r="K12" s="152"/>
      <c r="M12" s="29"/>
    </row>
    <row r="13" s="27" customFormat="1" ht="26" spans="1:13">
      <c r="A13" s="161"/>
      <c r="B13" s="162"/>
      <c r="C13" s="163" t="s">
        <v>787</v>
      </c>
      <c r="D13" s="164" t="s">
        <v>788</v>
      </c>
      <c r="E13" s="164"/>
      <c r="F13" s="165">
        <v>38162</v>
      </c>
      <c r="G13" s="507" t="s">
        <v>789</v>
      </c>
      <c r="H13" s="162">
        <v>2004</v>
      </c>
      <c r="I13" s="181">
        <f>26000000+21000000</f>
        <v>47000000</v>
      </c>
      <c r="J13" s="162" t="s">
        <v>790</v>
      </c>
      <c r="K13" s="162" t="s">
        <v>791</v>
      </c>
      <c r="M13" s="29"/>
    </row>
    <row r="14" s="27" customFormat="1" spans="1:13">
      <c r="A14" s="161"/>
      <c r="B14" s="508" t="s">
        <v>24</v>
      </c>
      <c r="C14" s="167" t="s">
        <v>792</v>
      </c>
      <c r="D14" s="168"/>
      <c r="E14" s="168"/>
      <c r="F14" s="168"/>
      <c r="G14" s="168"/>
      <c r="H14" s="169"/>
      <c r="I14" s="114">
        <f>SUM(I15:I36)</f>
        <v>252919806.857639</v>
      </c>
      <c r="J14" s="162"/>
      <c r="K14" s="162"/>
      <c r="M14" s="29"/>
    </row>
    <row r="15" s="27" customFormat="1" spans="1:13">
      <c r="A15" s="161"/>
      <c r="B15" s="152"/>
      <c r="C15" s="74" t="s">
        <v>793</v>
      </c>
      <c r="D15" s="103"/>
      <c r="E15" s="74"/>
      <c r="F15" s="166"/>
      <c r="G15" s="166" t="s">
        <v>794</v>
      </c>
      <c r="H15" s="162">
        <v>2023</v>
      </c>
      <c r="I15" s="76">
        <v>71100000</v>
      </c>
      <c r="J15" s="162" t="s">
        <v>795</v>
      </c>
      <c r="K15" s="162" t="s">
        <v>796</v>
      </c>
      <c r="M15" s="29"/>
    </row>
    <row r="16" s="27" customFormat="1" spans="1:13">
      <c r="A16" s="149"/>
      <c r="B16" s="162"/>
      <c r="C16" s="55" t="s">
        <v>797</v>
      </c>
      <c r="D16" s="170"/>
      <c r="E16" s="170"/>
      <c r="F16" s="170"/>
      <c r="G16" s="171"/>
      <c r="H16" s="152"/>
      <c r="I16" s="98">
        <v>1500000</v>
      </c>
      <c r="J16" s="162" t="s">
        <v>790</v>
      </c>
      <c r="K16" s="162" t="s">
        <v>798</v>
      </c>
      <c r="M16" s="29"/>
    </row>
    <row r="17" s="27" customFormat="1" spans="1:13">
      <c r="A17" s="161"/>
      <c r="B17" s="162"/>
      <c r="C17" s="55" t="s">
        <v>799</v>
      </c>
      <c r="D17" s="164"/>
      <c r="E17" s="164"/>
      <c r="F17" s="164"/>
      <c r="G17" s="166" t="s">
        <v>800</v>
      </c>
      <c r="H17" s="162">
        <v>2016</v>
      </c>
      <c r="I17" s="98">
        <v>2700000</v>
      </c>
      <c r="J17" s="162" t="s">
        <v>790</v>
      </c>
      <c r="K17" s="162" t="s">
        <v>798</v>
      </c>
      <c r="M17" s="29"/>
    </row>
    <row r="18" s="27" customFormat="1" spans="1:13">
      <c r="A18" s="161"/>
      <c r="B18" s="162"/>
      <c r="C18" s="55" t="s">
        <v>801</v>
      </c>
      <c r="D18" s="164"/>
      <c r="E18" s="164"/>
      <c r="F18" s="164"/>
      <c r="G18" s="166" t="s">
        <v>802</v>
      </c>
      <c r="H18" s="162">
        <v>2005</v>
      </c>
      <c r="I18" s="98">
        <v>700000</v>
      </c>
      <c r="J18" s="162" t="s">
        <v>790</v>
      </c>
      <c r="K18" s="162" t="s">
        <v>798</v>
      </c>
      <c r="M18" s="29"/>
    </row>
    <row r="19" s="27" customFormat="1" spans="1:13">
      <c r="A19" s="161"/>
      <c r="B19" s="162"/>
      <c r="C19" s="55" t="s">
        <v>803</v>
      </c>
      <c r="D19" s="164"/>
      <c r="E19" s="164"/>
      <c r="F19" s="164"/>
      <c r="G19" s="166" t="s">
        <v>804</v>
      </c>
      <c r="H19" s="162"/>
      <c r="I19" s="98">
        <v>3000000</v>
      </c>
      <c r="J19" s="162" t="s">
        <v>790</v>
      </c>
      <c r="K19" s="162" t="s">
        <v>791</v>
      </c>
      <c r="M19" s="29"/>
    </row>
    <row r="20" s="27" customFormat="1" spans="1:13">
      <c r="A20" s="149"/>
      <c r="B20" s="162"/>
      <c r="C20" s="55" t="s">
        <v>805</v>
      </c>
      <c r="D20" s="170"/>
      <c r="E20" s="170"/>
      <c r="F20" s="170"/>
      <c r="G20" s="166" t="s">
        <v>804</v>
      </c>
      <c r="H20" s="162">
        <v>2015</v>
      </c>
      <c r="I20" s="98">
        <v>3600000</v>
      </c>
      <c r="J20" s="162" t="s">
        <v>790</v>
      </c>
      <c r="K20" s="162" t="s">
        <v>806</v>
      </c>
      <c r="M20" s="29"/>
    </row>
    <row r="21" s="27" customFormat="1" spans="1:13">
      <c r="A21" s="161"/>
      <c r="B21" s="162"/>
      <c r="C21" s="55" t="s">
        <v>807</v>
      </c>
      <c r="D21" s="164"/>
      <c r="E21" s="164"/>
      <c r="F21" s="164"/>
      <c r="G21" s="166" t="s">
        <v>808</v>
      </c>
      <c r="H21" s="162">
        <v>1985</v>
      </c>
      <c r="I21" s="98">
        <v>750000</v>
      </c>
      <c r="J21" s="162" t="s">
        <v>790</v>
      </c>
      <c r="K21" s="162" t="s">
        <v>809</v>
      </c>
      <c r="M21" s="29"/>
    </row>
    <row r="22" s="27" customFormat="1" ht="39" spans="1:13">
      <c r="A22" s="161"/>
      <c r="B22" s="162"/>
      <c r="C22" s="55" t="s">
        <v>810</v>
      </c>
      <c r="D22" s="164"/>
      <c r="E22" s="164"/>
      <c r="F22" s="164"/>
      <c r="G22" s="166" t="s">
        <v>808</v>
      </c>
      <c r="H22" s="162">
        <v>1986</v>
      </c>
      <c r="I22" s="98">
        <v>300000</v>
      </c>
      <c r="J22" s="182" t="s">
        <v>811</v>
      </c>
      <c r="K22" s="162" t="s">
        <v>812</v>
      </c>
      <c r="M22" s="29"/>
    </row>
    <row r="23" s="27" customFormat="1" spans="1:13">
      <c r="A23" s="161"/>
      <c r="B23" s="162"/>
      <c r="C23" s="55" t="s">
        <v>813</v>
      </c>
      <c r="D23" s="164"/>
      <c r="E23" s="164"/>
      <c r="F23" s="164"/>
      <c r="G23" s="166" t="s">
        <v>808</v>
      </c>
      <c r="H23" s="162">
        <v>1991</v>
      </c>
      <c r="I23" s="98">
        <v>3000000</v>
      </c>
      <c r="J23" s="162" t="s">
        <v>790</v>
      </c>
      <c r="K23" s="162" t="s">
        <v>791</v>
      </c>
      <c r="M23" s="29"/>
    </row>
    <row r="24" s="27" customFormat="1" spans="1:13">
      <c r="A24" s="161"/>
      <c r="B24" s="162"/>
      <c r="C24" s="55" t="s">
        <v>814</v>
      </c>
      <c r="D24" s="164"/>
      <c r="E24" s="164"/>
      <c r="F24" s="164"/>
      <c r="G24" s="166" t="s">
        <v>808</v>
      </c>
      <c r="H24" s="162">
        <v>2000</v>
      </c>
      <c r="I24" s="98">
        <v>6000000</v>
      </c>
      <c r="J24" s="162" t="s">
        <v>790</v>
      </c>
      <c r="K24" s="162" t="s">
        <v>815</v>
      </c>
      <c r="M24" s="29"/>
    </row>
    <row r="25" s="27" customFormat="1" spans="1:13">
      <c r="A25" s="161"/>
      <c r="B25" s="162"/>
      <c r="C25" s="55" t="s">
        <v>816</v>
      </c>
      <c r="D25" s="164"/>
      <c r="E25" s="164"/>
      <c r="F25" s="164"/>
      <c r="G25" s="166" t="s">
        <v>808</v>
      </c>
      <c r="H25" s="162">
        <v>2007</v>
      </c>
      <c r="I25" s="115">
        <v>24038400.6076389</v>
      </c>
      <c r="J25" s="162" t="s">
        <v>790</v>
      </c>
      <c r="K25" s="162" t="s">
        <v>817</v>
      </c>
      <c r="M25" s="29"/>
    </row>
    <row r="26" s="27" customFormat="1" spans="1:13">
      <c r="A26" s="161"/>
      <c r="B26" s="162"/>
      <c r="C26" s="55" t="s">
        <v>818</v>
      </c>
      <c r="D26" s="164"/>
      <c r="E26" s="164"/>
      <c r="F26" s="164"/>
      <c r="G26" s="166" t="s">
        <v>808</v>
      </c>
      <c r="H26" s="162" t="s">
        <v>819</v>
      </c>
      <c r="I26" s="115">
        <v>51502487.5</v>
      </c>
      <c r="J26" s="162" t="s">
        <v>790</v>
      </c>
      <c r="K26" s="162" t="s">
        <v>820</v>
      </c>
      <c r="M26" s="29"/>
    </row>
    <row r="27" s="27" customFormat="1" spans="1:13">
      <c r="A27" s="161"/>
      <c r="B27" s="162"/>
      <c r="C27" s="55" t="s">
        <v>821</v>
      </c>
      <c r="D27" s="164"/>
      <c r="E27" s="164"/>
      <c r="F27" s="164"/>
      <c r="G27" s="166" t="s">
        <v>808</v>
      </c>
      <c r="H27" s="162">
        <v>2017</v>
      </c>
      <c r="I27" s="115">
        <v>4800000</v>
      </c>
      <c r="J27" s="162" t="s">
        <v>790</v>
      </c>
      <c r="K27" s="162" t="s">
        <v>822</v>
      </c>
      <c r="M27" s="29"/>
    </row>
    <row r="28" s="27" customFormat="1" spans="1:13">
      <c r="A28" s="161"/>
      <c r="B28" s="162"/>
      <c r="C28" s="55" t="s">
        <v>823</v>
      </c>
      <c r="D28" s="164"/>
      <c r="E28" s="164"/>
      <c r="F28" s="164"/>
      <c r="G28" s="166" t="s">
        <v>808</v>
      </c>
      <c r="H28" s="162">
        <v>2017</v>
      </c>
      <c r="I28" s="115">
        <v>2100000</v>
      </c>
      <c r="J28" s="162" t="s">
        <v>790</v>
      </c>
      <c r="K28" s="162" t="s">
        <v>824</v>
      </c>
      <c r="M28" s="29"/>
    </row>
    <row r="29" s="27" customFormat="1" spans="1:13">
      <c r="A29" s="161"/>
      <c r="B29" s="162"/>
      <c r="C29" s="55" t="s">
        <v>825</v>
      </c>
      <c r="D29" s="164"/>
      <c r="E29" s="164"/>
      <c r="F29" s="164"/>
      <c r="G29" s="166" t="s">
        <v>808</v>
      </c>
      <c r="H29" s="162">
        <v>2002</v>
      </c>
      <c r="I29" s="115">
        <v>2000000</v>
      </c>
      <c r="J29" s="162" t="s">
        <v>790</v>
      </c>
      <c r="K29" s="162" t="s">
        <v>791</v>
      </c>
      <c r="M29" s="29"/>
    </row>
    <row r="30" s="27" customFormat="1" spans="1:13">
      <c r="A30" s="161"/>
      <c r="B30" s="162"/>
      <c r="C30" s="55" t="s">
        <v>826</v>
      </c>
      <c r="D30" s="164"/>
      <c r="E30" s="164"/>
      <c r="F30" s="164"/>
      <c r="G30" s="166" t="s">
        <v>808</v>
      </c>
      <c r="H30" s="162">
        <v>2023</v>
      </c>
      <c r="I30" s="62">
        <v>13282918.75</v>
      </c>
      <c r="J30" s="162" t="s">
        <v>790</v>
      </c>
      <c r="K30" s="162" t="s">
        <v>822</v>
      </c>
      <c r="M30" s="29"/>
    </row>
    <row r="31" s="27" customFormat="1" spans="1:13">
      <c r="A31" s="161"/>
      <c r="B31" s="162"/>
      <c r="C31" s="55" t="s">
        <v>827</v>
      </c>
      <c r="D31" s="164"/>
      <c r="E31" s="164"/>
      <c r="F31" s="164"/>
      <c r="G31" s="166" t="s">
        <v>808</v>
      </c>
      <c r="H31" s="162">
        <v>2006</v>
      </c>
      <c r="I31" s="115">
        <v>25400000</v>
      </c>
      <c r="J31" s="162" t="s">
        <v>790</v>
      </c>
      <c r="K31" s="162" t="s">
        <v>828</v>
      </c>
      <c r="M31" s="29"/>
    </row>
    <row r="32" s="27" customFormat="1" spans="1:13">
      <c r="A32" s="161"/>
      <c r="B32" s="162"/>
      <c r="C32" s="55" t="s">
        <v>829</v>
      </c>
      <c r="D32" s="164"/>
      <c r="E32" s="164"/>
      <c r="F32" s="164"/>
      <c r="G32" s="166" t="s">
        <v>808</v>
      </c>
      <c r="H32" s="162">
        <v>2016</v>
      </c>
      <c r="I32" s="98">
        <v>4000000</v>
      </c>
      <c r="J32" s="162" t="s">
        <v>790</v>
      </c>
      <c r="K32" s="162" t="s">
        <v>822</v>
      </c>
      <c r="M32" s="29"/>
    </row>
    <row r="33" s="27" customFormat="1" spans="1:13">
      <c r="A33" s="161"/>
      <c r="B33" s="162"/>
      <c r="C33" s="55" t="s">
        <v>830</v>
      </c>
      <c r="D33" s="164"/>
      <c r="E33" s="164"/>
      <c r="F33" s="164"/>
      <c r="G33" s="166" t="s">
        <v>808</v>
      </c>
      <c r="H33" s="162">
        <v>2000</v>
      </c>
      <c r="I33" s="98">
        <v>7000000</v>
      </c>
      <c r="J33" s="162" t="s">
        <v>790</v>
      </c>
      <c r="K33" s="162" t="s">
        <v>822</v>
      </c>
      <c r="M33" s="29"/>
    </row>
    <row r="34" s="27" customFormat="1" spans="1:13">
      <c r="A34" s="161"/>
      <c r="B34" s="162"/>
      <c r="C34" s="55" t="s">
        <v>831</v>
      </c>
      <c r="D34" s="164"/>
      <c r="E34" s="164"/>
      <c r="F34" s="164"/>
      <c r="G34" s="166" t="s">
        <v>808</v>
      </c>
      <c r="H34" s="162">
        <v>2005</v>
      </c>
      <c r="I34" s="98">
        <v>6400000</v>
      </c>
      <c r="J34" s="162" t="s">
        <v>790</v>
      </c>
      <c r="K34" s="162" t="s">
        <v>806</v>
      </c>
      <c r="M34" s="29"/>
    </row>
    <row r="35" s="27" customFormat="1" spans="1:13">
      <c r="A35" s="161"/>
      <c r="B35" s="162"/>
      <c r="C35" s="55" t="s">
        <v>832</v>
      </c>
      <c r="D35" s="164"/>
      <c r="E35" s="164"/>
      <c r="F35" s="164"/>
      <c r="G35" s="166" t="s">
        <v>808</v>
      </c>
      <c r="H35" s="162">
        <v>2007</v>
      </c>
      <c r="I35" s="98">
        <v>3400000</v>
      </c>
      <c r="J35" s="162" t="s">
        <v>790</v>
      </c>
      <c r="K35" s="162" t="s">
        <v>822</v>
      </c>
      <c r="M35" s="29"/>
    </row>
    <row r="36" s="27" customFormat="1" spans="1:13">
      <c r="A36" s="161"/>
      <c r="B36" s="162"/>
      <c r="C36" s="55" t="s">
        <v>833</v>
      </c>
      <c r="D36" s="164"/>
      <c r="E36" s="164"/>
      <c r="F36" s="164"/>
      <c r="G36" s="166" t="s">
        <v>808</v>
      </c>
      <c r="H36" s="162">
        <v>2009</v>
      </c>
      <c r="I36" s="98">
        <v>16346000</v>
      </c>
      <c r="J36" s="162" t="s">
        <v>790</v>
      </c>
      <c r="K36" s="162" t="s">
        <v>791</v>
      </c>
      <c r="M36" s="29"/>
    </row>
    <row r="37" s="27" customFormat="1" spans="1:13">
      <c r="A37" s="161"/>
      <c r="B37" s="508" t="s">
        <v>26</v>
      </c>
      <c r="C37" s="167" t="s">
        <v>834</v>
      </c>
      <c r="D37" s="168"/>
      <c r="E37" s="168"/>
      <c r="F37" s="168"/>
      <c r="G37" s="168"/>
      <c r="H37" s="169"/>
      <c r="I37" s="178">
        <f>SUM(I38:I44)</f>
        <v>30722400</v>
      </c>
      <c r="J37" s="162"/>
      <c r="K37" s="162"/>
      <c r="M37" s="29"/>
    </row>
    <row r="38" s="27" customFormat="1" spans="1:13">
      <c r="A38" s="161"/>
      <c r="B38" s="152"/>
      <c r="C38" s="73" t="s">
        <v>835</v>
      </c>
      <c r="D38" s="164"/>
      <c r="E38" s="164"/>
      <c r="F38" s="164"/>
      <c r="G38" s="166"/>
      <c r="H38" s="162">
        <v>2024</v>
      </c>
      <c r="I38" s="183">
        <v>25000000</v>
      </c>
      <c r="J38" s="162" t="s">
        <v>790</v>
      </c>
      <c r="K38" s="162"/>
      <c r="M38" s="29"/>
    </row>
    <row r="39" s="27" customFormat="1" spans="1:13">
      <c r="A39" s="161"/>
      <c r="B39" s="152"/>
      <c r="C39" s="74" t="s">
        <v>836</v>
      </c>
      <c r="D39" s="164"/>
      <c r="E39" s="164"/>
      <c r="F39" s="164"/>
      <c r="G39" s="166" t="s">
        <v>808</v>
      </c>
      <c r="H39" s="162">
        <v>2020</v>
      </c>
      <c r="I39" s="62">
        <v>620000</v>
      </c>
      <c r="J39" s="162" t="s">
        <v>790</v>
      </c>
      <c r="K39" s="162" t="s">
        <v>817</v>
      </c>
      <c r="M39" s="29"/>
    </row>
    <row r="40" s="27" customFormat="1" spans="1:13">
      <c r="A40" s="161"/>
      <c r="B40" s="162"/>
      <c r="C40" s="55" t="s">
        <v>837</v>
      </c>
      <c r="D40" s="164"/>
      <c r="E40" s="172"/>
      <c r="F40" s="164"/>
      <c r="G40" s="166" t="s">
        <v>808</v>
      </c>
      <c r="H40" s="162">
        <v>1998</v>
      </c>
      <c r="I40" s="98">
        <v>3350000</v>
      </c>
      <c r="J40" s="162" t="s">
        <v>790</v>
      </c>
      <c r="K40" s="162" t="s">
        <v>791</v>
      </c>
      <c r="M40" s="29"/>
    </row>
    <row r="41" s="27" customFormat="1" spans="1:13">
      <c r="A41" s="161"/>
      <c r="B41" s="162"/>
      <c r="C41" s="55" t="s">
        <v>838</v>
      </c>
      <c r="D41" s="164"/>
      <c r="E41" s="164"/>
      <c r="F41" s="164"/>
      <c r="G41" s="166" t="s">
        <v>808</v>
      </c>
      <c r="H41" s="162">
        <v>2017</v>
      </c>
      <c r="I41" s="98">
        <v>250000</v>
      </c>
      <c r="J41" s="162" t="s">
        <v>790</v>
      </c>
      <c r="K41" s="162" t="s">
        <v>798</v>
      </c>
      <c r="M41" s="29"/>
    </row>
    <row r="42" s="27" customFormat="1" spans="1:13">
      <c r="A42" s="161"/>
      <c r="B42" s="162"/>
      <c r="C42" s="55" t="s">
        <v>839</v>
      </c>
      <c r="D42" s="164"/>
      <c r="E42" s="164"/>
      <c r="F42" s="164"/>
      <c r="G42" s="166" t="s">
        <v>808</v>
      </c>
      <c r="H42" s="162">
        <v>2017</v>
      </c>
      <c r="I42" s="98">
        <v>402400</v>
      </c>
      <c r="J42" s="162" t="s">
        <v>790</v>
      </c>
      <c r="K42" s="162" t="s">
        <v>798</v>
      </c>
      <c r="M42" s="29"/>
    </row>
    <row r="43" s="27" customFormat="1" spans="1:13">
      <c r="A43" s="161"/>
      <c r="B43" s="162"/>
      <c r="C43" s="55" t="s">
        <v>840</v>
      </c>
      <c r="D43" s="164"/>
      <c r="E43" s="164"/>
      <c r="F43" s="164"/>
      <c r="G43" s="166" t="s">
        <v>808</v>
      </c>
      <c r="H43" s="162">
        <v>2017</v>
      </c>
      <c r="I43" s="98">
        <v>750000</v>
      </c>
      <c r="J43" s="162" t="s">
        <v>790</v>
      </c>
      <c r="K43" s="162" t="s">
        <v>809</v>
      </c>
      <c r="M43" s="29"/>
    </row>
    <row r="44" s="27" customFormat="1" spans="1:13">
      <c r="A44" s="161"/>
      <c r="B44" s="162"/>
      <c r="C44" s="55" t="s">
        <v>841</v>
      </c>
      <c r="D44" s="164"/>
      <c r="E44" s="164"/>
      <c r="F44" s="164"/>
      <c r="G44" s="166" t="s">
        <v>808</v>
      </c>
      <c r="H44" s="162">
        <v>2017</v>
      </c>
      <c r="I44" s="98">
        <v>350000</v>
      </c>
      <c r="J44" s="162" t="s">
        <v>790</v>
      </c>
      <c r="K44" s="162" t="s">
        <v>798</v>
      </c>
      <c r="M44" s="29"/>
    </row>
    <row r="45" s="27" customFormat="1" spans="1:13">
      <c r="A45" s="161"/>
      <c r="B45" s="508" t="s">
        <v>28</v>
      </c>
      <c r="C45" s="167" t="s">
        <v>842</v>
      </c>
      <c r="D45" s="168"/>
      <c r="E45" s="168"/>
      <c r="F45" s="168"/>
      <c r="G45" s="168"/>
      <c r="H45" s="169"/>
      <c r="I45" s="178">
        <f>SUM(I46:I63)</f>
        <v>120468832.899306</v>
      </c>
      <c r="J45" s="162"/>
      <c r="K45" s="162"/>
      <c r="M45" s="29"/>
    </row>
    <row r="46" s="27" customFormat="1" spans="1:14">
      <c r="A46" s="161"/>
      <c r="B46" s="152"/>
      <c r="C46" s="55" t="s">
        <v>843</v>
      </c>
      <c r="D46" s="164"/>
      <c r="E46" s="164"/>
      <c r="F46" s="164"/>
      <c r="G46" s="166" t="s">
        <v>808</v>
      </c>
      <c r="H46" s="162" t="s">
        <v>844</v>
      </c>
      <c r="I46" s="115">
        <v>45338400.6076388</v>
      </c>
      <c r="J46" s="162" t="s">
        <v>845</v>
      </c>
      <c r="K46" s="162" t="s">
        <v>846</v>
      </c>
      <c r="M46" s="29"/>
      <c r="N46" s="100"/>
    </row>
    <row r="47" s="27" customFormat="1" spans="1:13">
      <c r="A47" s="161"/>
      <c r="B47" s="152"/>
      <c r="C47" s="55" t="s">
        <v>847</v>
      </c>
      <c r="D47" s="164"/>
      <c r="E47" s="164"/>
      <c r="F47" s="164"/>
      <c r="G47" s="166" t="s">
        <v>808</v>
      </c>
      <c r="H47" s="162">
        <v>2021</v>
      </c>
      <c r="I47" s="115">
        <v>18149000</v>
      </c>
      <c r="J47" s="162" t="s">
        <v>790</v>
      </c>
      <c r="K47" s="162" t="s">
        <v>848</v>
      </c>
      <c r="M47" s="29"/>
    </row>
    <row r="48" s="27" customFormat="1" spans="1:13">
      <c r="A48" s="161"/>
      <c r="B48" s="152"/>
      <c r="C48" s="55" t="s">
        <v>849</v>
      </c>
      <c r="D48" s="164"/>
      <c r="E48" s="164"/>
      <c r="F48" s="164"/>
      <c r="G48" s="166" t="s">
        <v>808</v>
      </c>
      <c r="H48" s="162">
        <v>2015</v>
      </c>
      <c r="I48" s="98">
        <v>6475000</v>
      </c>
      <c r="J48" s="162" t="s">
        <v>790</v>
      </c>
      <c r="K48" s="162" t="s">
        <v>846</v>
      </c>
      <c r="M48" s="29"/>
    </row>
    <row r="49" s="27" customFormat="1" spans="1:13">
      <c r="A49" s="161"/>
      <c r="B49" s="152"/>
      <c r="C49" s="55" t="s">
        <v>850</v>
      </c>
      <c r="D49" s="164"/>
      <c r="E49" s="164"/>
      <c r="F49" s="164"/>
      <c r="G49" s="166" t="s">
        <v>808</v>
      </c>
      <c r="H49" s="162">
        <v>2021</v>
      </c>
      <c r="I49" s="98">
        <v>5350000</v>
      </c>
      <c r="J49" s="162" t="s">
        <v>790</v>
      </c>
      <c r="K49" s="162" t="s">
        <v>848</v>
      </c>
      <c r="M49" s="29"/>
    </row>
    <row r="50" s="27" customFormat="1" spans="1:13">
      <c r="A50" s="161"/>
      <c r="B50" s="152"/>
      <c r="C50" s="55" t="str">
        <f>'[10]ASET 2024'!B52</f>
        <v>Laptop HP</v>
      </c>
      <c r="D50" s="164"/>
      <c r="E50" s="164"/>
      <c r="F50" s="164"/>
      <c r="G50" s="166" t="s">
        <v>808</v>
      </c>
      <c r="H50" s="162">
        <v>2023</v>
      </c>
      <c r="I50" s="98">
        <v>7704000</v>
      </c>
      <c r="J50" s="162" t="s">
        <v>790</v>
      </c>
      <c r="K50" s="162" t="s">
        <v>848</v>
      </c>
      <c r="M50" s="29"/>
    </row>
    <row r="51" s="27" customFormat="1" spans="1:13">
      <c r="A51" s="161"/>
      <c r="B51" s="152"/>
      <c r="C51" s="55" t="s">
        <v>851</v>
      </c>
      <c r="D51" s="164"/>
      <c r="E51" s="164"/>
      <c r="F51" s="164"/>
      <c r="G51" s="166" t="s">
        <v>808</v>
      </c>
      <c r="H51" s="162">
        <v>2015</v>
      </c>
      <c r="I51" s="98">
        <v>7902432.29166667</v>
      </c>
      <c r="J51" s="162" t="s">
        <v>790</v>
      </c>
      <c r="K51" s="162" t="s">
        <v>852</v>
      </c>
      <c r="M51" s="29"/>
    </row>
    <row r="52" s="27" customFormat="1" spans="1:13">
      <c r="A52" s="161"/>
      <c r="B52" s="152"/>
      <c r="C52" s="55" t="s">
        <v>853</v>
      </c>
      <c r="D52" s="164"/>
      <c r="E52" s="164"/>
      <c r="F52" s="164"/>
      <c r="G52" s="166" t="s">
        <v>808</v>
      </c>
      <c r="H52" s="162">
        <v>2017</v>
      </c>
      <c r="I52" s="98">
        <v>8000000</v>
      </c>
      <c r="J52" s="162" t="s">
        <v>790</v>
      </c>
      <c r="K52" s="162" t="s">
        <v>854</v>
      </c>
      <c r="M52" s="29"/>
    </row>
    <row r="53" s="27" customFormat="1" spans="1:13">
      <c r="A53" s="161"/>
      <c r="B53" s="152"/>
      <c r="C53" s="55" t="s">
        <v>855</v>
      </c>
      <c r="D53" s="164"/>
      <c r="E53" s="164"/>
      <c r="F53" s="164"/>
      <c r="G53" s="166" t="s">
        <v>808</v>
      </c>
      <c r="H53" s="162">
        <v>2020</v>
      </c>
      <c r="I53" s="98">
        <v>2075000</v>
      </c>
      <c r="J53" s="162" t="s">
        <v>790</v>
      </c>
      <c r="K53" s="162" t="s">
        <v>856</v>
      </c>
      <c r="M53" s="29"/>
    </row>
    <row r="54" s="27" customFormat="1" spans="1:13">
      <c r="A54" s="161"/>
      <c r="B54" s="152"/>
      <c r="C54" s="55" t="s">
        <v>857</v>
      </c>
      <c r="D54" s="164"/>
      <c r="E54" s="164"/>
      <c r="F54" s="164"/>
      <c r="G54" s="166" t="s">
        <v>808</v>
      </c>
      <c r="H54" s="162">
        <v>2021</v>
      </c>
      <c r="I54" s="98">
        <v>2175000</v>
      </c>
      <c r="J54" s="162" t="s">
        <v>790</v>
      </c>
      <c r="K54" s="162" t="s">
        <v>848</v>
      </c>
      <c r="M54" s="29"/>
    </row>
    <row r="55" s="27" customFormat="1" spans="1:13">
      <c r="A55" s="161"/>
      <c r="B55" s="152"/>
      <c r="C55" s="55" t="s">
        <v>858</v>
      </c>
      <c r="D55" s="164"/>
      <c r="E55" s="164"/>
      <c r="F55" s="164"/>
      <c r="G55" s="166" t="s">
        <v>808</v>
      </c>
      <c r="H55" s="162">
        <v>2021</v>
      </c>
      <c r="I55" s="98">
        <v>650000</v>
      </c>
      <c r="J55" s="162" t="s">
        <v>790</v>
      </c>
      <c r="K55" s="162" t="s">
        <v>848</v>
      </c>
      <c r="M55" s="29"/>
    </row>
    <row r="56" s="27" customFormat="1" spans="1:13">
      <c r="A56" s="161"/>
      <c r="B56" s="152"/>
      <c r="C56" s="55" t="s">
        <v>859</v>
      </c>
      <c r="D56" s="164"/>
      <c r="E56" s="164"/>
      <c r="F56" s="164"/>
      <c r="G56" s="166" t="s">
        <v>808</v>
      </c>
      <c r="H56" s="162">
        <v>2021</v>
      </c>
      <c r="I56" s="98">
        <v>950000</v>
      </c>
      <c r="J56" s="162" t="s">
        <v>860</v>
      </c>
      <c r="K56" s="162" t="s">
        <v>848</v>
      </c>
      <c r="M56" s="29"/>
    </row>
    <row r="57" s="27" customFormat="1" spans="1:13">
      <c r="A57" s="161"/>
      <c r="B57" s="152"/>
      <c r="C57" s="55" t="s">
        <v>861</v>
      </c>
      <c r="D57" s="164"/>
      <c r="E57" s="164"/>
      <c r="F57" s="164"/>
      <c r="G57" s="166" t="s">
        <v>808</v>
      </c>
      <c r="H57" s="162">
        <v>2015</v>
      </c>
      <c r="I57" s="98">
        <v>1050000</v>
      </c>
      <c r="J57" s="162" t="s">
        <v>790</v>
      </c>
      <c r="K57" s="162" t="s">
        <v>848</v>
      </c>
      <c r="M57" s="29"/>
    </row>
    <row r="58" s="27" customFormat="1" spans="1:13">
      <c r="A58" s="161"/>
      <c r="B58" s="162"/>
      <c r="C58" s="55" t="s">
        <v>862</v>
      </c>
      <c r="D58" s="164"/>
      <c r="E58" s="164"/>
      <c r="F58" s="164"/>
      <c r="G58" s="166" t="s">
        <v>808</v>
      </c>
      <c r="H58" s="162">
        <v>2016</v>
      </c>
      <c r="I58" s="98">
        <v>2000000</v>
      </c>
      <c r="J58" s="162" t="s">
        <v>790</v>
      </c>
      <c r="K58" s="162" t="s">
        <v>848</v>
      </c>
      <c r="M58" s="29"/>
    </row>
    <row r="59" s="27" customFormat="1" spans="1:13">
      <c r="A59" s="161"/>
      <c r="B59" s="162"/>
      <c r="C59" s="55" t="s">
        <v>863</v>
      </c>
      <c r="D59" s="164"/>
      <c r="E59" s="164"/>
      <c r="F59" s="164"/>
      <c r="G59" s="166" t="s">
        <v>864</v>
      </c>
      <c r="H59" s="162">
        <v>1997</v>
      </c>
      <c r="I59" s="98">
        <v>1550000</v>
      </c>
      <c r="J59" s="162" t="s">
        <v>865</v>
      </c>
      <c r="K59" s="162" t="s">
        <v>852</v>
      </c>
      <c r="M59" s="110"/>
    </row>
    <row r="60" s="27" customFormat="1" spans="1:13">
      <c r="A60" s="161"/>
      <c r="B60" s="162"/>
      <c r="C60" s="55" t="s">
        <v>866</v>
      </c>
      <c r="D60" s="164"/>
      <c r="E60" s="164"/>
      <c r="F60" s="164"/>
      <c r="G60" s="166" t="s">
        <v>864</v>
      </c>
      <c r="H60" s="162">
        <v>2015</v>
      </c>
      <c r="I60" s="98">
        <v>1050000</v>
      </c>
      <c r="J60" s="162" t="s">
        <v>860</v>
      </c>
      <c r="K60" s="162" t="s">
        <v>852</v>
      </c>
      <c r="M60" s="110"/>
    </row>
    <row r="61" s="27" customFormat="1" spans="1:13">
      <c r="A61" s="161"/>
      <c r="B61" s="162"/>
      <c r="C61" s="55" t="s">
        <v>867</v>
      </c>
      <c r="D61" s="164"/>
      <c r="E61" s="164"/>
      <c r="F61" s="164"/>
      <c r="G61" s="166" t="s">
        <v>868</v>
      </c>
      <c r="H61" s="162">
        <v>2017</v>
      </c>
      <c r="I61" s="98">
        <v>1650000</v>
      </c>
      <c r="J61" s="162" t="s">
        <v>865</v>
      </c>
      <c r="K61" s="162" t="s">
        <v>852</v>
      </c>
      <c r="M61" s="29"/>
    </row>
    <row r="62" s="27" customFormat="1" spans="1:13">
      <c r="A62" s="161"/>
      <c r="B62" s="162"/>
      <c r="C62" s="57" t="s">
        <v>869</v>
      </c>
      <c r="D62" s="164"/>
      <c r="E62" s="164"/>
      <c r="F62" s="164"/>
      <c r="G62" s="166"/>
      <c r="H62" s="162">
        <v>2022</v>
      </c>
      <c r="I62" s="98">
        <v>4500000</v>
      </c>
      <c r="J62" s="162" t="s">
        <v>790</v>
      </c>
      <c r="K62" s="162" t="s">
        <v>848</v>
      </c>
      <c r="M62" s="29"/>
    </row>
    <row r="63" s="27" customFormat="1" spans="1:13">
      <c r="A63" s="161"/>
      <c r="B63" s="162"/>
      <c r="C63" s="55" t="s">
        <v>870</v>
      </c>
      <c r="D63" s="164"/>
      <c r="E63" s="164"/>
      <c r="F63" s="164"/>
      <c r="G63" s="166" t="s">
        <v>864</v>
      </c>
      <c r="H63" s="162">
        <v>2016</v>
      </c>
      <c r="I63" s="98">
        <v>3900000</v>
      </c>
      <c r="J63" s="162" t="s">
        <v>790</v>
      </c>
      <c r="K63" s="162" t="s">
        <v>848</v>
      </c>
      <c r="M63" s="29"/>
    </row>
    <row r="64" s="27" customFormat="1" spans="1:13">
      <c r="A64" s="161"/>
      <c r="B64" s="508" t="s">
        <v>30</v>
      </c>
      <c r="C64" s="167" t="s">
        <v>871</v>
      </c>
      <c r="D64" s="168"/>
      <c r="E64" s="168"/>
      <c r="F64" s="168"/>
      <c r="G64" s="168"/>
      <c r="H64" s="169"/>
      <c r="I64" s="178">
        <f>SUM(I65:I79)</f>
        <v>50532520.2430556</v>
      </c>
      <c r="J64" s="162"/>
      <c r="K64" s="162"/>
      <c r="M64" s="29"/>
    </row>
    <row r="65" s="27" customFormat="1" spans="1:13">
      <c r="A65" s="161"/>
      <c r="B65" s="152"/>
      <c r="C65" s="74" t="s">
        <v>872</v>
      </c>
      <c r="D65" s="164"/>
      <c r="E65" s="164"/>
      <c r="F65" s="164"/>
      <c r="G65" s="166" t="s">
        <v>868</v>
      </c>
      <c r="H65" s="162">
        <v>2020</v>
      </c>
      <c r="I65" s="72">
        <v>4000000</v>
      </c>
      <c r="J65" s="162" t="s">
        <v>790</v>
      </c>
      <c r="K65" s="162" t="s">
        <v>848</v>
      </c>
      <c r="M65" s="29"/>
    </row>
    <row r="66" s="27" customFormat="1" spans="1:13">
      <c r="A66" s="161"/>
      <c r="B66" s="152"/>
      <c r="C66" s="74" t="s">
        <v>872</v>
      </c>
      <c r="D66" s="164"/>
      <c r="E66" s="164"/>
      <c r="F66" s="164"/>
      <c r="G66" s="166" t="s">
        <v>868</v>
      </c>
      <c r="H66" s="162">
        <v>2020</v>
      </c>
      <c r="I66" s="72">
        <v>2850000</v>
      </c>
      <c r="J66" s="162" t="s">
        <v>790</v>
      </c>
      <c r="K66" s="162" t="s">
        <v>848</v>
      </c>
      <c r="M66" s="29"/>
    </row>
    <row r="67" s="27" customFormat="1" spans="1:13">
      <c r="A67" s="161"/>
      <c r="B67" s="152"/>
      <c r="C67" s="74" t="s">
        <v>873</v>
      </c>
      <c r="D67" s="164"/>
      <c r="E67" s="164"/>
      <c r="F67" s="164"/>
      <c r="G67" s="166" t="s">
        <v>868</v>
      </c>
      <c r="H67" s="162">
        <v>2020</v>
      </c>
      <c r="I67" s="72">
        <v>250000</v>
      </c>
      <c r="J67" s="162" t="s">
        <v>790</v>
      </c>
      <c r="K67" s="162" t="s">
        <v>848</v>
      </c>
      <c r="M67" s="29"/>
    </row>
    <row r="68" s="27" customFormat="1" spans="1:13">
      <c r="A68" s="161"/>
      <c r="B68" s="152"/>
      <c r="C68" s="74" t="s">
        <v>874</v>
      </c>
      <c r="D68" s="164"/>
      <c r="E68" s="164"/>
      <c r="F68" s="164"/>
      <c r="G68" s="166" t="s">
        <v>868</v>
      </c>
      <c r="H68" s="162">
        <v>2020</v>
      </c>
      <c r="I68" s="72">
        <v>150000</v>
      </c>
      <c r="J68" s="162" t="s">
        <v>790</v>
      </c>
      <c r="K68" s="162" t="s">
        <v>848</v>
      </c>
      <c r="M68" s="29"/>
    </row>
    <row r="69" s="27" customFormat="1" spans="1:13">
      <c r="A69" s="161"/>
      <c r="B69" s="162"/>
      <c r="C69" s="55" t="s">
        <v>875</v>
      </c>
      <c r="D69" s="164"/>
      <c r="E69" s="164"/>
      <c r="F69" s="164"/>
      <c r="G69" s="166" t="s">
        <v>864</v>
      </c>
      <c r="H69" s="162">
        <v>2016</v>
      </c>
      <c r="I69" s="77">
        <v>6847160</v>
      </c>
      <c r="J69" s="162" t="s">
        <v>790</v>
      </c>
      <c r="K69" s="162" t="s">
        <v>848</v>
      </c>
      <c r="M69" s="29"/>
    </row>
    <row r="70" s="27" customFormat="1" spans="1:13">
      <c r="A70" s="161"/>
      <c r="B70" s="162"/>
      <c r="C70" s="57" t="s">
        <v>876</v>
      </c>
      <c r="D70" s="164"/>
      <c r="E70" s="164"/>
      <c r="F70" s="164"/>
      <c r="G70" s="166" t="s">
        <v>877</v>
      </c>
      <c r="H70" s="162">
        <v>2022</v>
      </c>
      <c r="I70" s="191">
        <v>10335360.2430556</v>
      </c>
      <c r="J70" s="162" t="s">
        <v>790</v>
      </c>
      <c r="K70" s="162" t="s">
        <v>852</v>
      </c>
      <c r="M70" s="29"/>
    </row>
    <row r="71" s="27" customFormat="1" spans="1:13">
      <c r="A71" s="161"/>
      <c r="B71" s="162"/>
      <c r="C71" s="184" t="s">
        <v>878</v>
      </c>
      <c r="D71" s="164"/>
      <c r="E71" s="164"/>
      <c r="F71" s="164"/>
      <c r="G71" s="166" t="s">
        <v>879</v>
      </c>
      <c r="H71" s="162">
        <v>2022</v>
      </c>
      <c r="I71" s="77">
        <v>5650000</v>
      </c>
      <c r="J71" s="162" t="s">
        <v>790</v>
      </c>
      <c r="K71" s="162" t="s">
        <v>848</v>
      </c>
      <c r="M71" s="29"/>
    </row>
    <row r="72" s="27" customFormat="1" spans="1:13">
      <c r="A72" s="161"/>
      <c r="B72" s="162"/>
      <c r="C72" s="55" t="s">
        <v>880</v>
      </c>
      <c r="D72" s="164"/>
      <c r="E72" s="164"/>
      <c r="F72" s="164"/>
      <c r="G72" s="166" t="s">
        <v>868</v>
      </c>
      <c r="H72" s="162">
        <v>2018</v>
      </c>
      <c r="I72" s="77">
        <v>1450000</v>
      </c>
      <c r="J72" s="162" t="s">
        <v>790</v>
      </c>
      <c r="K72" s="162" t="s">
        <v>852</v>
      </c>
      <c r="M72" s="29"/>
    </row>
    <row r="73" s="27" customFormat="1" spans="1:13">
      <c r="A73" s="161"/>
      <c r="B73" s="162"/>
      <c r="C73" s="55" t="s">
        <v>881</v>
      </c>
      <c r="D73" s="164"/>
      <c r="E73" s="164"/>
      <c r="F73" s="164"/>
      <c r="G73" s="166" t="s">
        <v>868</v>
      </c>
      <c r="H73" s="162">
        <v>2018</v>
      </c>
      <c r="I73" s="77">
        <v>5700000</v>
      </c>
      <c r="J73" s="162" t="s">
        <v>790</v>
      </c>
      <c r="K73" s="162" t="s">
        <v>848</v>
      </c>
      <c r="M73" s="29"/>
    </row>
    <row r="76" s="27" customFormat="1" spans="1:13">
      <c r="A76" s="144"/>
      <c r="B76" s="144"/>
      <c r="C76" s="185"/>
      <c r="D76" s="145"/>
      <c r="E76" s="145"/>
      <c r="F76" s="145"/>
      <c r="G76" s="143"/>
      <c r="H76" s="144"/>
      <c r="I76" s="192"/>
      <c r="J76" s="144"/>
      <c r="K76" s="144"/>
      <c r="M76" s="29"/>
    </row>
    <row r="77" s="27" customFormat="1" spans="1:13">
      <c r="A77" s="144"/>
      <c r="B77" s="144"/>
      <c r="C77" s="185"/>
      <c r="D77" s="145"/>
      <c r="E77" s="145"/>
      <c r="F77" s="145"/>
      <c r="G77" s="143"/>
      <c r="H77" s="144"/>
      <c r="I77" s="192"/>
      <c r="J77" s="144"/>
      <c r="K77" s="144"/>
      <c r="M77" s="29"/>
    </row>
    <row r="78" s="27" customFormat="1" ht="26" spans="1:13">
      <c r="A78" s="161"/>
      <c r="B78" s="162"/>
      <c r="C78" s="55" t="s">
        <v>882</v>
      </c>
      <c r="D78" s="164"/>
      <c r="E78" s="164"/>
      <c r="F78" s="164"/>
      <c r="G78" s="166" t="s">
        <v>868</v>
      </c>
      <c r="H78" s="162">
        <v>2018</v>
      </c>
      <c r="I78" s="77">
        <v>5000000</v>
      </c>
      <c r="J78" s="182" t="s">
        <v>883</v>
      </c>
      <c r="K78" s="162" t="s">
        <v>852</v>
      </c>
      <c r="M78" s="29"/>
    </row>
    <row r="79" s="27" customFormat="1" spans="1:13">
      <c r="A79" s="161"/>
      <c r="B79" s="162"/>
      <c r="C79" s="55" t="s">
        <v>884</v>
      </c>
      <c r="D79" s="164"/>
      <c r="E79" s="164"/>
      <c r="F79" s="164"/>
      <c r="G79" s="166" t="s">
        <v>868</v>
      </c>
      <c r="H79" s="162">
        <v>2018</v>
      </c>
      <c r="I79" s="77">
        <v>8300000</v>
      </c>
      <c r="J79" s="162" t="s">
        <v>790</v>
      </c>
      <c r="K79" s="162" t="s">
        <v>848</v>
      </c>
      <c r="M79" s="29"/>
    </row>
    <row r="80" s="27" customFormat="1" spans="1:13">
      <c r="A80" s="186" t="s">
        <v>885</v>
      </c>
      <c r="C80" s="167" t="s">
        <v>316</v>
      </c>
      <c r="D80" s="168"/>
      <c r="E80" s="168"/>
      <c r="F80" s="168"/>
      <c r="G80" s="168"/>
      <c r="H80" s="169"/>
      <c r="I80" s="180">
        <f>I81</f>
        <v>1935676570</v>
      </c>
      <c r="J80" s="193"/>
      <c r="K80" s="193"/>
      <c r="M80" s="29"/>
    </row>
    <row r="81" s="27" customFormat="1" spans="1:13">
      <c r="A81" s="161"/>
      <c r="B81" s="152" t="s">
        <v>22</v>
      </c>
      <c r="C81" s="167" t="s">
        <v>886</v>
      </c>
      <c r="D81" s="168"/>
      <c r="E81" s="168"/>
      <c r="F81" s="168"/>
      <c r="G81" s="168"/>
      <c r="H81" s="169"/>
      <c r="I81" s="178">
        <f>SUM(I82:I95)</f>
        <v>1935676570</v>
      </c>
      <c r="J81" s="162"/>
      <c r="K81" s="162"/>
      <c r="M81" s="29"/>
    </row>
    <row r="82" s="27" customFormat="1" spans="1:13">
      <c r="A82" s="161"/>
      <c r="B82" s="152"/>
      <c r="C82" s="55" t="s">
        <v>887</v>
      </c>
      <c r="D82" s="164"/>
      <c r="E82" s="164"/>
      <c r="F82" s="164"/>
      <c r="G82" s="166" t="s">
        <v>868</v>
      </c>
      <c r="H82" s="162">
        <v>2011</v>
      </c>
      <c r="I82" s="183">
        <v>92300000</v>
      </c>
      <c r="J82" s="162" t="s">
        <v>790</v>
      </c>
      <c r="K82" s="162"/>
      <c r="M82" s="29"/>
    </row>
    <row r="83" s="27" customFormat="1" spans="1:13">
      <c r="A83" s="161"/>
      <c r="B83" s="152"/>
      <c r="C83" s="55" t="s">
        <v>887</v>
      </c>
      <c r="D83" s="164"/>
      <c r="E83" s="164"/>
      <c r="F83" s="164"/>
      <c r="G83" s="166" t="s">
        <v>864</v>
      </c>
      <c r="H83" s="162">
        <v>2011</v>
      </c>
      <c r="I83" s="194">
        <v>70000000</v>
      </c>
      <c r="J83" s="162" t="s">
        <v>790</v>
      </c>
      <c r="K83" s="162"/>
      <c r="M83" s="29"/>
    </row>
    <row r="84" s="27" customFormat="1" spans="1:13">
      <c r="A84" s="161"/>
      <c r="B84" s="152"/>
      <c r="C84" s="55" t="s">
        <v>887</v>
      </c>
      <c r="D84" s="164"/>
      <c r="E84" s="164"/>
      <c r="F84" s="164"/>
      <c r="G84" s="166" t="s">
        <v>864</v>
      </c>
      <c r="H84" s="162">
        <v>2011</v>
      </c>
      <c r="I84" s="194">
        <v>120000000</v>
      </c>
      <c r="J84" s="162" t="s">
        <v>790</v>
      </c>
      <c r="K84" s="162"/>
      <c r="M84" s="29"/>
    </row>
    <row r="85" s="27" customFormat="1" spans="1:13">
      <c r="A85" s="161"/>
      <c r="B85" s="152"/>
      <c r="C85" s="55" t="s">
        <v>888</v>
      </c>
      <c r="D85" s="164"/>
      <c r="E85" s="164"/>
      <c r="F85" s="164"/>
      <c r="G85" s="166" t="s">
        <v>864</v>
      </c>
      <c r="H85" s="162">
        <v>2017</v>
      </c>
      <c r="I85" s="194">
        <v>139000000</v>
      </c>
      <c r="J85" s="162" t="s">
        <v>790</v>
      </c>
      <c r="K85" s="162"/>
      <c r="M85" s="110"/>
    </row>
    <row r="86" s="27" customFormat="1" spans="1:13">
      <c r="A86" s="161"/>
      <c r="B86" s="152"/>
      <c r="C86" s="55" t="s">
        <v>889</v>
      </c>
      <c r="D86" s="164"/>
      <c r="E86" s="164"/>
      <c r="F86" s="164"/>
      <c r="G86" s="166" t="s">
        <v>864</v>
      </c>
      <c r="H86" s="162">
        <v>2005</v>
      </c>
      <c r="I86" s="194">
        <v>189478900</v>
      </c>
      <c r="J86" s="162" t="s">
        <v>790</v>
      </c>
      <c r="K86" s="162"/>
      <c r="M86" s="110"/>
    </row>
    <row r="87" s="27" customFormat="1" spans="1:13">
      <c r="A87" s="161"/>
      <c r="B87" s="152"/>
      <c r="C87" s="55" t="s">
        <v>889</v>
      </c>
      <c r="D87" s="164"/>
      <c r="E87" s="164"/>
      <c r="F87" s="164"/>
      <c r="G87" s="166" t="s">
        <v>864</v>
      </c>
      <c r="H87" s="162">
        <v>2016</v>
      </c>
      <c r="I87" s="194">
        <v>180000000</v>
      </c>
      <c r="J87" s="162" t="s">
        <v>790</v>
      </c>
      <c r="K87" s="162"/>
      <c r="M87" s="110"/>
    </row>
    <row r="88" s="27" customFormat="1" spans="1:13">
      <c r="A88" s="161"/>
      <c r="B88" s="152"/>
      <c r="C88" s="55" t="s">
        <v>890</v>
      </c>
      <c r="D88" s="164"/>
      <c r="E88" s="164"/>
      <c r="F88" s="164"/>
      <c r="G88" s="166" t="s">
        <v>864</v>
      </c>
      <c r="H88" s="162"/>
      <c r="I88" s="194">
        <v>350000000</v>
      </c>
      <c r="J88" s="162" t="s">
        <v>790</v>
      </c>
      <c r="K88" s="162"/>
      <c r="M88" s="195"/>
    </row>
    <row r="89" s="27" customFormat="1" spans="1:13">
      <c r="A89" s="161"/>
      <c r="B89" s="152"/>
      <c r="C89" s="55" t="s">
        <v>891</v>
      </c>
      <c r="D89" s="164"/>
      <c r="E89" s="164"/>
      <c r="F89" s="164"/>
      <c r="G89" s="166" t="s">
        <v>864</v>
      </c>
      <c r="H89" s="162"/>
      <c r="I89" s="194">
        <v>40000000</v>
      </c>
      <c r="J89" s="162" t="s">
        <v>790</v>
      </c>
      <c r="K89" s="162"/>
      <c r="M89" s="110"/>
    </row>
    <row r="90" s="27" customFormat="1" spans="1:13">
      <c r="A90" s="161"/>
      <c r="B90" s="152"/>
      <c r="C90" s="55" t="s">
        <v>892</v>
      </c>
      <c r="D90" s="164"/>
      <c r="E90" s="164"/>
      <c r="F90" s="164"/>
      <c r="G90" s="166" t="s">
        <v>864</v>
      </c>
      <c r="H90" s="162">
        <v>2005</v>
      </c>
      <c r="I90" s="194">
        <v>54000000</v>
      </c>
      <c r="J90" s="162" t="s">
        <v>790</v>
      </c>
      <c r="K90" s="162"/>
      <c r="M90" s="110"/>
    </row>
    <row r="91" s="27" customFormat="1" spans="1:13">
      <c r="A91" s="149"/>
      <c r="B91" s="152"/>
      <c r="C91" s="55" t="s">
        <v>893</v>
      </c>
      <c r="D91" s="170"/>
      <c r="E91" s="170"/>
      <c r="F91" s="170"/>
      <c r="G91" s="166" t="s">
        <v>877</v>
      </c>
      <c r="H91" s="162">
        <v>2017</v>
      </c>
      <c r="I91" s="194">
        <v>54000000</v>
      </c>
      <c r="J91" s="162" t="s">
        <v>790</v>
      </c>
      <c r="K91" s="152"/>
      <c r="M91" s="29"/>
    </row>
    <row r="92" s="27" customFormat="1" spans="1:13">
      <c r="A92" s="161"/>
      <c r="B92" s="162"/>
      <c r="C92" s="55" t="s">
        <v>894</v>
      </c>
      <c r="D92" s="164"/>
      <c r="E92" s="187"/>
      <c r="F92" s="164"/>
      <c r="G92" s="166" t="s">
        <v>895</v>
      </c>
      <c r="H92" s="162">
        <v>2006</v>
      </c>
      <c r="I92" s="183">
        <v>63000000</v>
      </c>
      <c r="J92" s="162" t="s">
        <v>790</v>
      </c>
      <c r="K92" s="162"/>
      <c r="M92" s="29"/>
    </row>
    <row r="93" s="27" customFormat="1" spans="1:13">
      <c r="A93" s="161"/>
      <c r="B93" s="162"/>
      <c r="C93" s="74" t="s">
        <v>896</v>
      </c>
      <c r="D93" s="188"/>
      <c r="E93" s="74"/>
      <c r="F93" s="189"/>
      <c r="G93" s="166" t="s">
        <v>897</v>
      </c>
      <c r="H93" s="162">
        <v>2022</v>
      </c>
      <c r="I93" s="62">
        <v>100000000</v>
      </c>
      <c r="J93" s="162" t="s">
        <v>790</v>
      </c>
      <c r="K93" s="162"/>
      <c r="M93" s="29"/>
    </row>
    <row r="94" s="27" customFormat="1" spans="1:13">
      <c r="A94" s="161"/>
      <c r="B94" s="162"/>
      <c r="C94" s="74" t="s">
        <v>898</v>
      </c>
      <c r="D94" s="188"/>
      <c r="E94" s="74"/>
      <c r="F94" s="189"/>
      <c r="G94" s="166" t="s">
        <v>899</v>
      </c>
      <c r="H94" s="162">
        <v>2022</v>
      </c>
      <c r="I94" s="62">
        <v>445691670</v>
      </c>
      <c r="J94" s="162" t="s">
        <v>790</v>
      </c>
      <c r="K94" s="162"/>
      <c r="M94" s="110"/>
    </row>
    <row r="95" s="27" customFormat="1" spans="1:13">
      <c r="A95" s="161"/>
      <c r="B95" s="162"/>
      <c r="C95" s="59" t="s">
        <v>900</v>
      </c>
      <c r="D95" s="188"/>
      <c r="E95" s="74"/>
      <c r="F95" s="189"/>
      <c r="G95" s="166" t="s">
        <v>901</v>
      </c>
      <c r="H95" s="162">
        <v>2023</v>
      </c>
      <c r="I95" s="62">
        <v>38206000</v>
      </c>
      <c r="J95" s="162" t="s">
        <v>790</v>
      </c>
      <c r="K95" s="162"/>
      <c r="M95" s="110"/>
    </row>
    <row r="96" s="27" customFormat="1" spans="1:13">
      <c r="A96" s="152" t="s">
        <v>902</v>
      </c>
      <c r="C96" s="167" t="s">
        <v>903</v>
      </c>
      <c r="D96" s="168"/>
      <c r="E96" s="168"/>
      <c r="F96" s="168"/>
      <c r="G96" s="168"/>
      <c r="H96" s="169"/>
      <c r="I96" s="178">
        <f>I97+I132+I135</f>
        <v>7810173620</v>
      </c>
      <c r="J96" s="162"/>
      <c r="K96" s="162"/>
      <c r="M96" s="29"/>
    </row>
    <row r="97" s="27" customFormat="1" spans="1:13">
      <c r="A97" s="161"/>
      <c r="B97" s="152" t="s">
        <v>22</v>
      </c>
      <c r="C97" s="167" t="s">
        <v>904</v>
      </c>
      <c r="D97" s="168"/>
      <c r="E97" s="168"/>
      <c r="F97" s="168"/>
      <c r="G97" s="168"/>
      <c r="H97" s="169"/>
      <c r="I97" s="178">
        <f>SUM(I98:I131)</f>
        <v>6973794035</v>
      </c>
      <c r="J97" s="162"/>
      <c r="K97" s="162"/>
      <c r="M97" s="29"/>
    </row>
    <row r="98" s="27" customFormat="1" spans="1:13">
      <c r="A98" s="161"/>
      <c r="B98" s="152"/>
      <c r="C98" s="102" t="s">
        <v>905</v>
      </c>
      <c r="D98" s="164"/>
      <c r="E98" s="164"/>
      <c r="F98" s="164"/>
      <c r="G98" s="166" t="s">
        <v>906</v>
      </c>
      <c r="H98" s="162">
        <v>2019</v>
      </c>
      <c r="I98" s="196">
        <v>823097410</v>
      </c>
      <c r="J98" s="162" t="s">
        <v>790</v>
      </c>
      <c r="K98" s="162"/>
      <c r="M98" s="29"/>
    </row>
    <row r="99" s="27" customFormat="1" spans="1:13">
      <c r="A99" s="149"/>
      <c r="B99" s="152"/>
      <c r="C99" s="102" t="s">
        <v>907</v>
      </c>
      <c r="D99" s="170"/>
      <c r="E99" s="170"/>
      <c r="F99" s="170"/>
      <c r="G99" s="166" t="s">
        <v>906</v>
      </c>
      <c r="H99" s="162">
        <v>2014</v>
      </c>
      <c r="I99" s="196">
        <v>177144656</v>
      </c>
      <c r="J99" s="162" t="s">
        <v>790</v>
      </c>
      <c r="K99" s="152"/>
      <c r="M99" s="29"/>
    </row>
    <row r="100" s="27" customFormat="1" spans="1:13">
      <c r="A100" s="161"/>
      <c r="B100" s="152"/>
      <c r="C100" s="102" t="s">
        <v>908</v>
      </c>
      <c r="D100" s="164"/>
      <c r="E100" s="164"/>
      <c r="F100" s="164"/>
      <c r="G100" s="166" t="s">
        <v>909</v>
      </c>
      <c r="H100" s="162">
        <v>2018</v>
      </c>
      <c r="I100" s="196">
        <v>52660000</v>
      </c>
      <c r="J100" s="162" t="s">
        <v>790</v>
      </c>
      <c r="K100" s="162"/>
      <c r="M100" s="29"/>
    </row>
    <row r="101" s="27" customFormat="1" spans="1:13">
      <c r="A101" s="161"/>
      <c r="B101" s="152"/>
      <c r="C101" s="102" t="s">
        <v>910</v>
      </c>
      <c r="D101" s="170"/>
      <c r="E101" s="164"/>
      <c r="F101" s="164"/>
      <c r="G101" s="166" t="s">
        <v>909</v>
      </c>
      <c r="H101" s="162">
        <v>2015</v>
      </c>
      <c r="I101" s="196">
        <v>58335000</v>
      </c>
      <c r="J101" s="162" t="s">
        <v>790</v>
      </c>
      <c r="K101" s="162"/>
      <c r="M101" s="29"/>
    </row>
    <row r="102" s="27" customFormat="1" spans="1:13">
      <c r="A102" s="161"/>
      <c r="B102" s="152"/>
      <c r="C102" s="102" t="s">
        <v>911</v>
      </c>
      <c r="D102" s="164"/>
      <c r="E102" s="164"/>
      <c r="F102" s="164"/>
      <c r="G102" s="166" t="s">
        <v>912</v>
      </c>
      <c r="H102" s="162">
        <v>2022</v>
      </c>
      <c r="I102" s="196">
        <v>318776319</v>
      </c>
      <c r="J102" s="162" t="s">
        <v>790</v>
      </c>
      <c r="K102" s="162"/>
      <c r="M102" s="29"/>
    </row>
    <row r="103" s="27" customFormat="1" spans="1:13">
      <c r="A103" s="161"/>
      <c r="B103" s="152"/>
      <c r="C103" s="102" t="s">
        <v>913</v>
      </c>
      <c r="D103" s="170"/>
      <c r="E103" s="164"/>
      <c r="F103" s="164"/>
      <c r="G103" s="166" t="s">
        <v>909</v>
      </c>
      <c r="H103" s="162">
        <v>2017</v>
      </c>
      <c r="I103" s="196">
        <v>800255150</v>
      </c>
      <c r="J103" s="162" t="s">
        <v>790</v>
      </c>
      <c r="K103" s="162"/>
      <c r="M103" s="29"/>
    </row>
    <row r="104" s="27" customFormat="1" spans="1:14">
      <c r="A104" s="161"/>
      <c r="B104" s="152"/>
      <c r="C104" s="102" t="s">
        <v>914</v>
      </c>
      <c r="D104" s="164"/>
      <c r="E104" s="164"/>
      <c r="F104" s="164"/>
      <c r="G104" s="166" t="s">
        <v>915</v>
      </c>
      <c r="H104" s="162">
        <v>2012</v>
      </c>
      <c r="I104" s="196">
        <v>47000000</v>
      </c>
      <c r="J104" s="162" t="s">
        <v>790</v>
      </c>
      <c r="K104" s="162"/>
      <c r="M104" s="29"/>
      <c r="N104" s="30"/>
    </row>
    <row r="105" s="27" customFormat="1" spans="1:14">
      <c r="A105" s="161"/>
      <c r="B105" s="152"/>
      <c r="C105" s="102" t="s">
        <v>916</v>
      </c>
      <c r="D105" s="170"/>
      <c r="E105" s="164"/>
      <c r="F105" s="164"/>
      <c r="G105" s="166" t="s">
        <v>915</v>
      </c>
      <c r="H105" s="162">
        <v>2014</v>
      </c>
      <c r="I105" s="196">
        <v>297271500</v>
      </c>
      <c r="J105" s="162" t="s">
        <v>790</v>
      </c>
      <c r="K105" s="162"/>
      <c r="M105" s="29"/>
      <c r="N105" s="88"/>
    </row>
    <row r="106" s="27" customFormat="1" spans="1:14">
      <c r="A106" s="161"/>
      <c r="B106" s="152"/>
      <c r="C106" s="102" t="s">
        <v>917</v>
      </c>
      <c r="D106" s="164"/>
      <c r="E106" s="164"/>
      <c r="F106" s="164"/>
      <c r="G106" s="166" t="s">
        <v>918</v>
      </c>
      <c r="H106" s="162">
        <v>2018</v>
      </c>
      <c r="I106" s="196">
        <v>70000000</v>
      </c>
      <c r="J106" s="162" t="s">
        <v>790</v>
      </c>
      <c r="K106" s="162"/>
      <c r="M106" s="29"/>
      <c r="N106" s="88"/>
    </row>
    <row r="107" s="27" customFormat="1" spans="1:14">
      <c r="A107" s="161"/>
      <c r="B107" s="152"/>
      <c r="C107" s="102" t="s">
        <v>919</v>
      </c>
      <c r="D107" s="170"/>
      <c r="E107" s="164"/>
      <c r="F107" s="164"/>
      <c r="G107" s="166" t="s">
        <v>915</v>
      </c>
      <c r="H107" s="162">
        <v>2023</v>
      </c>
      <c r="I107" s="196">
        <v>60000000</v>
      </c>
      <c r="J107" s="162" t="s">
        <v>790</v>
      </c>
      <c r="K107" s="162"/>
      <c r="M107" s="29"/>
      <c r="N107" s="88"/>
    </row>
    <row r="108" s="27" customFormat="1" spans="1:14">
      <c r="A108" s="161"/>
      <c r="B108" s="152"/>
      <c r="C108" s="102" t="s">
        <v>904</v>
      </c>
      <c r="D108" s="164"/>
      <c r="E108" s="164"/>
      <c r="F108" s="164"/>
      <c r="G108" s="166" t="s">
        <v>920</v>
      </c>
      <c r="H108" s="162">
        <v>2019</v>
      </c>
      <c r="I108" s="196">
        <v>100000000</v>
      </c>
      <c r="J108" s="162" t="s">
        <v>790</v>
      </c>
      <c r="K108" s="162"/>
      <c r="M108" s="29"/>
      <c r="N108" s="88"/>
    </row>
    <row r="109" s="27" customFormat="1" spans="1:13">
      <c r="A109" s="161"/>
      <c r="B109" s="152"/>
      <c r="C109" s="102" t="s">
        <v>907</v>
      </c>
      <c r="D109" s="170"/>
      <c r="E109" s="164"/>
      <c r="F109" s="164"/>
      <c r="G109" s="166" t="s">
        <v>921</v>
      </c>
      <c r="H109" s="162">
        <v>2019</v>
      </c>
      <c r="I109" s="196">
        <v>36480500</v>
      </c>
      <c r="J109" s="162" t="s">
        <v>790</v>
      </c>
      <c r="K109" s="162"/>
      <c r="M109" s="29"/>
    </row>
    <row r="110" s="27" customFormat="1" spans="1:13">
      <c r="A110" s="149"/>
      <c r="B110" s="152"/>
      <c r="C110" s="102" t="s">
        <v>922</v>
      </c>
      <c r="D110" s="164"/>
      <c r="E110" s="170"/>
      <c r="F110" s="170"/>
      <c r="G110" s="166" t="s">
        <v>923</v>
      </c>
      <c r="H110" s="162">
        <v>2015</v>
      </c>
      <c r="I110" s="196">
        <v>146700000</v>
      </c>
      <c r="J110" s="162" t="s">
        <v>790</v>
      </c>
      <c r="K110" s="152"/>
      <c r="M110" s="29"/>
    </row>
    <row r="111" s="27" customFormat="1" spans="1:13">
      <c r="A111" s="161"/>
      <c r="B111" s="152"/>
      <c r="C111" s="102" t="s">
        <v>924</v>
      </c>
      <c r="D111" s="170"/>
      <c r="E111" s="164"/>
      <c r="F111" s="164"/>
      <c r="G111" s="166" t="s">
        <v>923</v>
      </c>
      <c r="H111" s="162">
        <v>2013</v>
      </c>
      <c r="I111" s="197">
        <v>350000000</v>
      </c>
      <c r="J111" s="162" t="s">
        <v>790</v>
      </c>
      <c r="K111" s="162"/>
      <c r="M111" s="29"/>
    </row>
    <row r="112" s="27" customFormat="1" ht="12.75" customHeight="1" spans="1:13">
      <c r="A112" s="161"/>
      <c r="B112" s="152"/>
      <c r="C112" s="102" t="s">
        <v>925</v>
      </c>
      <c r="D112" s="164"/>
      <c r="E112" s="164"/>
      <c r="F112" s="164"/>
      <c r="G112" s="166" t="s">
        <v>923</v>
      </c>
      <c r="H112" s="162">
        <v>2013</v>
      </c>
      <c r="I112" s="198">
        <v>52000000</v>
      </c>
      <c r="J112" s="162" t="s">
        <v>790</v>
      </c>
      <c r="K112" s="162"/>
      <c r="M112" s="29"/>
    </row>
    <row r="113" s="27" customFormat="1" ht="12.75" customHeight="1" spans="1:13">
      <c r="A113" s="161"/>
      <c r="B113" s="152"/>
      <c r="C113" s="102" t="s">
        <v>926</v>
      </c>
      <c r="D113" s="170"/>
      <c r="E113" s="164"/>
      <c r="F113" s="164"/>
      <c r="G113" s="166" t="s">
        <v>927</v>
      </c>
      <c r="H113" s="162">
        <v>2014</v>
      </c>
      <c r="I113" s="198">
        <v>47000000</v>
      </c>
      <c r="J113" s="162" t="s">
        <v>790</v>
      </c>
      <c r="K113" s="162"/>
      <c r="M113" s="29"/>
    </row>
    <row r="114" s="27" customFormat="1" spans="1:13">
      <c r="A114" s="161"/>
      <c r="B114" s="152"/>
      <c r="C114" s="102" t="s">
        <v>928</v>
      </c>
      <c r="D114" s="164"/>
      <c r="E114" s="164"/>
      <c r="F114" s="164"/>
      <c r="G114" s="166" t="s">
        <v>929</v>
      </c>
      <c r="H114" s="162">
        <v>2016</v>
      </c>
      <c r="I114" s="198">
        <v>250000000</v>
      </c>
      <c r="J114" s="162" t="s">
        <v>790</v>
      </c>
      <c r="K114" s="162"/>
      <c r="M114" s="29"/>
    </row>
    <row r="115" s="27" customFormat="1" spans="1:13">
      <c r="A115" s="161"/>
      <c r="B115" s="152"/>
      <c r="C115" s="102" t="s">
        <v>930</v>
      </c>
      <c r="D115" s="170"/>
      <c r="E115" s="164"/>
      <c r="F115" s="164"/>
      <c r="G115" s="166" t="s">
        <v>923</v>
      </c>
      <c r="H115" s="162">
        <v>2017</v>
      </c>
      <c r="I115" s="198">
        <v>250000000</v>
      </c>
      <c r="J115" s="162" t="s">
        <v>790</v>
      </c>
      <c r="K115" s="162"/>
      <c r="M115" s="29"/>
    </row>
    <row r="116" s="27" customFormat="1" spans="1:13">
      <c r="A116" s="161"/>
      <c r="B116" s="152"/>
      <c r="C116" s="102" t="s">
        <v>931</v>
      </c>
      <c r="D116" s="164"/>
      <c r="E116" s="164"/>
      <c r="F116" s="164"/>
      <c r="G116" s="166" t="s">
        <v>932</v>
      </c>
      <c r="H116" s="162">
        <v>2014</v>
      </c>
      <c r="I116" s="198">
        <v>68000000</v>
      </c>
      <c r="J116" s="162" t="s">
        <v>790</v>
      </c>
      <c r="K116" s="162"/>
      <c r="M116" s="29"/>
    </row>
    <row r="117" s="27" customFormat="1" spans="1:13">
      <c r="A117" s="149"/>
      <c r="B117" s="152"/>
      <c r="C117" s="102" t="s">
        <v>933</v>
      </c>
      <c r="D117" s="170"/>
      <c r="E117" s="170"/>
      <c r="F117" s="170"/>
      <c r="G117" s="166" t="s">
        <v>934</v>
      </c>
      <c r="H117" s="190">
        <v>2014</v>
      </c>
      <c r="I117" s="198">
        <v>81630000</v>
      </c>
      <c r="J117" s="199" t="s">
        <v>790</v>
      </c>
      <c r="K117" s="152"/>
      <c r="M117" s="29"/>
    </row>
    <row r="118" s="27" customFormat="1" spans="1:13">
      <c r="A118" s="149"/>
      <c r="B118" s="152"/>
      <c r="C118" s="102" t="s">
        <v>935</v>
      </c>
      <c r="D118" s="164"/>
      <c r="E118" s="170"/>
      <c r="F118" s="170"/>
      <c r="G118" s="166" t="s">
        <v>932</v>
      </c>
      <c r="H118" s="162">
        <v>2014</v>
      </c>
      <c r="I118" s="198">
        <v>545169500</v>
      </c>
      <c r="J118" s="162" t="s">
        <v>790</v>
      </c>
      <c r="K118" s="152"/>
      <c r="M118" s="29"/>
    </row>
    <row r="119" s="27" customFormat="1" spans="1:13">
      <c r="A119" s="149"/>
      <c r="B119" s="152"/>
      <c r="C119" s="102" t="s">
        <v>936</v>
      </c>
      <c r="D119" s="170"/>
      <c r="E119" s="170"/>
      <c r="F119" s="170"/>
      <c r="G119" s="166" t="s">
        <v>937</v>
      </c>
      <c r="H119" s="162">
        <v>2023</v>
      </c>
      <c r="I119" s="198">
        <v>114488000</v>
      </c>
      <c r="J119" s="162" t="s">
        <v>790</v>
      </c>
      <c r="K119" s="152"/>
      <c r="M119" s="29"/>
    </row>
    <row r="120" s="27" customFormat="1" spans="1:13">
      <c r="A120" s="149"/>
      <c r="B120" s="152"/>
      <c r="C120" s="102" t="s">
        <v>938</v>
      </c>
      <c r="D120" s="164"/>
      <c r="E120" s="170"/>
      <c r="F120" s="170"/>
      <c r="G120" s="166" t="s">
        <v>939</v>
      </c>
      <c r="H120" s="162">
        <v>2023</v>
      </c>
      <c r="I120" s="197">
        <v>130854500</v>
      </c>
      <c r="J120" s="162" t="s">
        <v>790</v>
      </c>
      <c r="K120" s="152"/>
      <c r="M120" s="29"/>
    </row>
    <row r="121" s="27" customFormat="1" spans="1:13">
      <c r="A121" s="161"/>
      <c r="B121" s="152"/>
      <c r="C121" s="102" t="s">
        <v>940</v>
      </c>
      <c r="D121" s="170"/>
      <c r="E121" s="166"/>
      <c r="F121" s="166"/>
      <c r="G121" s="166" t="s">
        <v>934</v>
      </c>
      <c r="H121" s="162">
        <v>2000</v>
      </c>
      <c r="I121" s="200">
        <v>409789000</v>
      </c>
      <c r="J121" s="162" t="s">
        <v>790</v>
      </c>
      <c r="K121" s="162"/>
      <c r="M121" s="29"/>
    </row>
    <row r="122" s="27" customFormat="1" spans="1:13">
      <c r="A122" s="161"/>
      <c r="B122" s="152"/>
      <c r="C122" s="102" t="s">
        <v>941</v>
      </c>
      <c r="D122" s="164"/>
      <c r="E122" s="166"/>
      <c r="F122" s="166"/>
      <c r="G122" s="166" t="s">
        <v>934</v>
      </c>
      <c r="H122" s="162">
        <v>2014</v>
      </c>
      <c r="I122" s="197">
        <v>8503000</v>
      </c>
      <c r="J122" s="162" t="s">
        <v>790</v>
      </c>
      <c r="K122" s="162"/>
      <c r="M122" s="29"/>
    </row>
    <row r="123" s="27" customFormat="1" spans="1:13">
      <c r="A123" s="161"/>
      <c r="B123" s="152"/>
      <c r="C123" s="102" t="s">
        <v>942</v>
      </c>
      <c r="D123" s="170"/>
      <c r="E123" s="166"/>
      <c r="F123" s="166"/>
      <c r="G123" s="166" t="s">
        <v>932</v>
      </c>
      <c r="H123" s="162">
        <v>2017</v>
      </c>
      <c r="I123" s="197">
        <v>36256500</v>
      </c>
      <c r="J123" s="162" t="s">
        <v>790</v>
      </c>
      <c r="K123" s="162"/>
      <c r="M123" s="29"/>
    </row>
    <row r="124" s="27" customFormat="1" spans="1:13">
      <c r="A124" s="161"/>
      <c r="B124" s="152"/>
      <c r="C124" s="102" t="s">
        <v>943</v>
      </c>
      <c r="D124" s="164"/>
      <c r="E124" s="166"/>
      <c r="F124" s="166"/>
      <c r="G124" s="166" t="s">
        <v>939</v>
      </c>
      <c r="H124" s="162">
        <v>2008</v>
      </c>
      <c r="I124" s="197">
        <v>184546500</v>
      </c>
      <c r="J124" s="162" t="s">
        <v>790</v>
      </c>
      <c r="K124" s="162"/>
      <c r="M124" s="29"/>
    </row>
    <row r="125" s="27" customFormat="1" spans="1:13">
      <c r="A125" s="161"/>
      <c r="B125" s="152"/>
      <c r="C125" s="102" t="s">
        <v>944</v>
      </c>
      <c r="D125" s="170"/>
      <c r="E125" s="166"/>
      <c r="F125" s="166"/>
      <c r="G125" s="166" t="s">
        <v>945</v>
      </c>
      <c r="H125" s="162">
        <v>2009</v>
      </c>
      <c r="I125" s="197">
        <v>914863200</v>
      </c>
      <c r="J125" s="162" t="s">
        <v>790</v>
      </c>
      <c r="K125" s="162"/>
      <c r="M125" s="29"/>
    </row>
    <row r="126" s="27" customFormat="1" spans="1:13">
      <c r="A126" s="149"/>
      <c r="B126" s="152"/>
      <c r="C126" s="102" t="s">
        <v>946</v>
      </c>
      <c r="D126" s="164"/>
      <c r="E126" s="170"/>
      <c r="F126" s="170"/>
      <c r="G126" s="166" t="s">
        <v>945</v>
      </c>
      <c r="H126" s="162">
        <v>2017</v>
      </c>
      <c r="I126" s="197">
        <v>272389300</v>
      </c>
      <c r="J126" s="162" t="s">
        <v>790</v>
      </c>
      <c r="K126" s="152"/>
      <c r="M126" s="29"/>
    </row>
    <row r="127" s="27" customFormat="1" spans="1:13">
      <c r="A127" s="74"/>
      <c r="B127" s="74"/>
      <c r="C127" s="74" t="s">
        <v>947</v>
      </c>
      <c r="D127" s="170"/>
      <c r="E127" s="74"/>
      <c r="F127" s="74"/>
      <c r="G127" s="166" t="s">
        <v>932</v>
      </c>
      <c r="H127" s="157">
        <v>2023</v>
      </c>
      <c r="I127" s="197">
        <v>60305000</v>
      </c>
      <c r="J127" s="162" t="s">
        <v>790</v>
      </c>
      <c r="K127" s="74"/>
      <c r="M127" s="29"/>
    </row>
    <row r="128" s="27" customFormat="1" spans="1:11">
      <c r="A128" s="162"/>
      <c r="B128" s="162"/>
      <c r="C128" s="163" t="s">
        <v>948</v>
      </c>
      <c r="D128" s="164"/>
      <c r="E128" s="166"/>
      <c r="F128" s="166"/>
      <c r="G128" s="166" t="s">
        <v>932</v>
      </c>
      <c r="H128" s="157">
        <v>2023</v>
      </c>
      <c r="I128" s="197">
        <v>48310800</v>
      </c>
      <c r="J128" s="162" t="s">
        <v>790</v>
      </c>
      <c r="K128" s="162"/>
    </row>
    <row r="129" s="27" customFormat="1" spans="1:11">
      <c r="A129" s="199"/>
      <c r="B129" s="162"/>
      <c r="C129" s="102" t="s">
        <v>949</v>
      </c>
      <c r="D129" s="164"/>
      <c r="E129" s="166"/>
      <c r="F129" s="166"/>
      <c r="G129" s="166"/>
      <c r="H129" s="157"/>
      <c r="I129" s="197">
        <v>75000000</v>
      </c>
      <c r="J129" s="162" t="s">
        <v>790</v>
      </c>
      <c r="K129" s="162"/>
    </row>
    <row r="130" s="27" customFormat="1" spans="1:11">
      <c r="A130" s="199"/>
      <c r="B130" s="162"/>
      <c r="C130" s="102" t="s">
        <v>950</v>
      </c>
      <c r="D130" s="164"/>
      <c r="E130" s="166"/>
      <c r="F130" s="166"/>
      <c r="G130" s="166"/>
      <c r="H130" s="157"/>
      <c r="I130" s="197">
        <v>50000000</v>
      </c>
      <c r="J130" s="162" t="s">
        <v>790</v>
      </c>
      <c r="K130" s="162"/>
    </row>
    <row r="131" s="27" customFormat="1" spans="1:11">
      <c r="A131" s="199"/>
      <c r="B131" s="162"/>
      <c r="C131" s="102" t="s">
        <v>951</v>
      </c>
      <c r="D131" s="164"/>
      <c r="E131" s="166"/>
      <c r="F131" s="166"/>
      <c r="G131" s="166"/>
      <c r="H131" s="157"/>
      <c r="I131" s="197">
        <v>36968200</v>
      </c>
      <c r="J131" s="162" t="s">
        <v>790</v>
      </c>
      <c r="K131" s="162"/>
    </row>
    <row r="132" s="27" customFormat="1" spans="1:13">
      <c r="A132" s="199"/>
      <c r="B132" s="152">
        <v>2</v>
      </c>
      <c r="C132" s="201" t="s">
        <v>952</v>
      </c>
      <c r="D132" s="202"/>
      <c r="E132" s="202"/>
      <c r="F132" s="202"/>
      <c r="G132" s="202"/>
      <c r="H132" s="203"/>
      <c r="I132" s="216">
        <f>I133+I134</f>
        <v>15602485</v>
      </c>
      <c r="J132" s="162" t="s">
        <v>790</v>
      </c>
      <c r="K132" s="162"/>
      <c r="M132" s="217"/>
    </row>
    <row r="133" s="27" customFormat="1" spans="1:13">
      <c r="A133" s="199"/>
      <c r="B133" s="162"/>
      <c r="C133" s="55" t="s">
        <v>953</v>
      </c>
      <c r="D133" s="164"/>
      <c r="E133" s="166"/>
      <c r="F133" s="166"/>
      <c r="G133" s="166" t="s">
        <v>954</v>
      </c>
      <c r="H133" s="162" t="s">
        <v>819</v>
      </c>
      <c r="I133" s="197">
        <v>14602485</v>
      </c>
      <c r="J133" s="162" t="s">
        <v>790</v>
      </c>
      <c r="K133" s="162"/>
      <c r="M133" s="217"/>
    </row>
    <row r="134" s="27" customFormat="1" spans="1:13">
      <c r="A134" s="199"/>
      <c r="B134" s="162"/>
      <c r="C134" s="55" t="s">
        <v>955</v>
      </c>
      <c r="D134" s="164"/>
      <c r="E134" s="166"/>
      <c r="F134" s="166"/>
      <c r="G134" s="166" t="s">
        <v>956</v>
      </c>
      <c r="H134" s="162">
        <v>2019</v>
      </c>
      <c r="I134" s="197">
        <v>1000000</v>
      </c>
      <c r="J134" s="162" t="s">
        <v>790</v>
      </c>
      <c r="K134" s="162"/>
      <c r="M134" s="217"/>
    </row>
    <row r="135" s="27" customFormat="1" spans="1:13">
      <c r="A135" s="152" t="s">
        <v>957</v>
      </c>
      <c r="B135" s="74">
        <v>1</v>
      </c>
      <c r="C135" s="204" t="s">
        <v>958</v>
      </c>
      <c r="D135" s="205"/>
      <c r="E135" s="205"/>
      <c r="F135" s="205"/>
      <c r="G135" s="205"/>
      <c r="H135" s="206"/>
      <c r="I135" s="216">
        <v>820777100</v>
      </c>
      <c r="J135" s="162" t="s">
        <v>790</v>
      </c>
      <c r="K135" s="162"/>
      <c r="M135" s="217"/>
    </row>
    <row r="136" s="27" customFormat="1" spans="1:13">
      <c r="A136" s="199"/>
      <c r="B136" s="152">
        <v>2</v>
      </c>
      <c r="C136" s="207" t="s">
        <v>958</v>
      </c>
      <c r="D136" s="208"/>
      <c r="E136" s="208"/>
      <c r="F136" s="208"/>
      <c r="G136" s="208"/>
      <c r="H136" s="209"/>
      <c r="I136" s="216">
        <v>170777100</v>
      </c>
      <c r="J136" s="162" t="s">
        <v>790</v>
      </c>
      <c r="K136" s="162"/>
      <c r="M136" s="217"/>
    </row>
    <row r="137" s="27" customFormat="1" spans="1:13">
      <c r="A137" s="199"/>
      <c r="B137" s="162"/>
      <c r="C137" s="102" t="s">
        <v>959</v>
      </c>
      <c r="D137" s="164"/>
      <c r="E137" s="166"/>
      <c r="F137" s="166"/>
      <c r="G137" s="166" t="s">
        <v>932</v>
      </c>
      <c r="H137" s="157">
        <v>2022</v>
      </c>
      <c r="I137" s="197">
        <v>7250000</v>
      </c>
      <c r="J137" s="162" t="s">
        <v>790</v>
      </c>
      <c r="K137" s="162"/>
      <c r="M137" s="217"/>
    </row>
    <row r="138" s="27" customFormat="1" spans="1:13">
      <c r="A138" s="199"/>
      <c r="B138" s="162"/>
      <c r="C138" s="102" t="s">
        <v>960</v>
      </c>
      <c r="D138" s="164"/>
      <c r="E138" s="166"/>
      <c r="F138" s="166"/>
      <c r="G138" s="166" t="s">
        <v>939</v>
      </c>
      <c r="H138" s="157">
        <v>2023</v>
      </c>
      <c r="I138" s="197">
        <v>50000000</v>
      </c>
      <c r="J138" s="162" t="s">
        <v>790</v>
      </c>
      <c r="K138" s="162"/>
      <c r="M138" s="217"/>
    </row>
    <row r="139" s="27" customFormat="1" spans="1:13">
      <c r="A139" s="199"/>
      <c r="B139" s="162"/>
      <c r="C139" s="102" t="s">
        <v>961</v>
      </c>
      <c r="D139" s="164"/>
      <c r="E139" s="166"/>
      <c r="F139" s="166"/>
      <c r="G139" s="166" t="s">
        <v>945</v>
      </c>
      <c r="H139" s="157">
        <v>2023</v>
      </c>
      <c r="I139" s="197">
        <v>1277100</v>
      </c>
      <c r="J139" s="162" t="s">
        <v>790</v>
      </c>
      <c r="K139" s="162"/>
      <c r="M139" s="217"/>
    </row>
    <row r="140" s="27" customFormat="1" spans="1:13">
      <c r="A140" s="199"/>
      <c r="B140" s="162"/>
      <c r="C140" s="102" t="s">
        <v>962</v>
      </c>
      <c r="D140" s="164"/>
      <c r="E140" s="166"/>
      <c r="F140" s="166"/>
      <c r="G140" s="166" t="s">
        <v>945</v>
      </c>
      <c r="H140" s="157">
        <v>2022</v>
      </c>
      <c r="I140" s="197">
        <v>25000000</v>
      </c>
      <c r="J140" s="162" t="s">
        <v>790</v>
      </c>
      <c r="K140" s="162"/>
      <c r="M140" s="217"/>
    </row>
    <row r="141" s="27" customFormat="1" spans="1:13">
      <c r="A141" s="161"/>
      <c r="C141" s="102" t="s">
        <v>963</v>
      </c>
      <c r="D141" s="166"/>
      <c r="E141" s="166"/>
      <c r="F141" s="166"/>
      <c r="G141" s="166" t="s">
        <v>932</v>
      </c>
      <c r="H141" s="157">
        <v>2022</v>
      </c>
      <c r="I141" s="218">
        <v>87250000</v>
      </c>
      <c r="J141" s="162" t="s">
        <v>790</v>
      </c>
      <c r="K141" s="162"/>
      <c r="M141" s="110"/>
    </row>
    <row r="142" s="27" customFormat="1" spans="1:13">
      <c r="A142" s="161"/>
      <c r="B142" s="152"/>
      <c r="C142" s="201" t="s">
        <v>964</v>
      </c>
      <c r="D142" s="202"/>
      <c r="E142" s="202"/>
      <c r="F142" s="202"/>
      <c r="G142" s="202"/>
      <c r="H142" s="203"/>
      <c r="I142" s="219">
        <v>650000000</v>
      </c>
      <c r="J142" s="162" t="s">
        <v>790</v>
      </c>
      <c r="K142" s="162" t="s">
        <v>852</v>
      </c>
      <c r="M142" s="29"/>
    </row>
    <row r="143" s="27" customFormat="1" spans="1:13">
      <c r="A143" s="161"/>
      <c r="B143" s="162"/>
      <c r="C143" s="74" t="s">
        <v>965</v>
      </c>
      <c r="D143" s="166"/>
      <c r="E143" s="166"/>
      <c r="F143" s="166"/>
      <c r="G143" s="166" t="s">
        <v>932</v>
      </c>
      <c r="H143" s="74">
        <v>2019</v>
      </c>
      <c r="I143" s="220">
        <v>650000000</v>
      </c>
      <c r="J143" s="162" t="s">
        <v>790</v>
      </c>
      <c r="K143" s="162" t="s">
        <v>966</v>
      </c>
      <c r="M143" s="29"/>
    </row>
    <row r="144" s="27" customFormat="1" spans="1:13">
      <c r="A144" s="210" t="s">
        <v>967</v>
      </c>
      <c r="B144" s="211"/>
      <c r="C144" s="211"/>
      <c r="D144" s="211"/>
      <c r="E144" s="211"/>
      <c r="F144" s="211"/>
      <c r="G144" s="211"/>
      <c r="H144" s="211"/>
      <c r="I144" s="114">
        <f>I96+I80+I11</f>
        <v>10247493750</v>
      </c>
      <c r="J144" s="179"/>
      <c r="K144" s="152"/>
      <c r="M144" s="29"/>
    </row>
    <row r="145" s="27" customFormat="1" spans="1:13">
      <c r="A145" s="143" t="s">
        <v>968</v>
      </c>
      <c r="B145" s="144"/>
      <c r="C145" s="145"/>
      <c r="D145" s="145"/>
      <c r="E145" s="145"/>
      <c r="F145" s="145"/>
      <c r="H145" s="144"/>
      <c r="I145" s="221"/>
      <c r="J145" s="144"/>
      <c r="K145" s="144"/>
      <c r="M145" s="29"/>
    </row>
    <row r="146" s="27" customFormat="1" spans="1:13">
      <c r="A146" s="212"/>
      <c r="B146" s="213"/>
      <c r="C146" s="145"/>
      <c r="D146" s="214"/>
      <c r="E146" s="214"/>
      <c r="F146" s="214"/>
      <c r="G146" s="212"/>
      <c r="H146" s="213"/>
      <c r="I146" s="133" t="s">
        <v>969</v>
      </c>
      <c r="J146" s="133"/>
      <c r="K146" s="133"/>
      <c r="M146" s="29"/>
    </row>
    <row r="147" s="27" customFormat="1" spans="1:13">
      <c r="A147" s="212"/>
      <c r="B147" s="213"/>
      <c r="C147" s="145"/>
      <c r="D147" s="214"/>
      <c r="E147" s="214"/>
      <c r="F147" s="214"/>
      <c r="G147" s="212"/>
      <c r="H147" s="213"/>
      <c r="I147" s="213" t="s">
        <v>733</v>
      </c>
      <c r="J147" s="213"/>
      <c r="K147" s="213"/>
      <c r="M147" s="29"/>
    </row>
    <row r="148" s="27" customFormat="1" spans="1:13">
      <c r="A148" s="212"/>
      <c r="B148" s="213"/>
      <c r="C148" s="145"/>
      <c r="D148" s="214"/>
      <c r="E148" s="214"/>
      <c r="F148" s="214"/>
      <c r="G148" s="212"/>
      <c r="H148" s="213"/>
      <c r="I148" s="136"/>
      <c r="J148" s="213"/>
      <c r="K148" s="213"/>
      <c r="M148" s="29"/>
    </row>
    <row r="149" s="27" customFormat="1" spans="1:13">
      <c r="A149" s="212"/>
      <c r="B149" s="213"/>
      <c r="C149" s="145"/>
      <c r="D149" s="214"/>
      <c r="E149" s="214"/>
      <c r="F149" s="214"/>
      <c r="G149" s="212"/>
      <c r="H149" s="213"/>
      <c r="I149" s="222"/>
      <c r="J149" s="213"/>
      <c r="K149" s="213"/>
      <c r="M149" s="59"/>
    </row>
    <row r="150" s="27" customFormat="1" spans="1:13">
      <c r="A150" s="212"/>
      <c r="B150" s="213"/>
      <c r="C150" s="145"/>
      <c r="D150" s="214"/>
      <c r="E150" s="214"/>
      <c r="F150" s="214"/>
      <c r="G150" s="212"/>
      <c r="H150" s="213"/>
      <c r="I150" s="147" t="s">
        <v>970</v>
      </c>
      <c r="J150" s="147"/>
      <c r="K150" s="147"/>
      <c r="M150" s="29"/>
    </row>
    <row r="151" s="27" customFormat="1" spans="1:13">
      <c r="A151" s="212"/>
      <c r="B151" s="213"/>
      <c r="C151" s="145"/>
      <c r="D151" s="214"/>
      <c r="E151" s="214"/>
      <c r="F151" s="214"/>
      <c r="G151" s="212"/>
      <c r="H151" s="213"/>
      <c r="I151" s="222"/>
      <c r="J151" s="213"/>
      <c r="K151" s="213"/>
      <c r="M151" s="29"/>
    </row>
    <row r="152" s="27" customFormat="1" spans="3:13">
      <c r="C152" s="215"/>
      <c r="G152" s="143"/>
      <c r="H152" s="142"/>
      <c r="I152" s="29"/>
      <c r="M152" s="29"/>
    </row>
    <row r="153" s="27" customFormat="1" spans="3:13">
      <c r="C153" s="145"/>
      <c r="H153" s="142"/>
      <c r="I153" s="29"/>
      <c r="M153" s="29"/>
    </row>
  </sheetData>
  <mergeCells count="29">
    <mergeCell ref="A2:K2"/>
    <mergeCell ref="A3:K3"/>
    <mergeCell ref="A4:K4"/>
    <mergeCell ref="B8:C8"/>
    <mergeCell ref="B11:H11"/>
    <mergeCell ref="C12:H12"/>
    <mergeCell ref="C14:H14"/>
    <mergeCell ref="C37:H37"/>
    <mergeCell ref="C45:H45"/>
    <mergeCell ref="C64:H64"/>
    <mergeCell ref="C80:H80"/>
    <mergeCell ref="C81:H81"/>
    <mergeCell ref="C96:H96"/>
    <mergeCell ref="C97:H97"/>
    <mergeCell ref="C132:H132"/>
    <mergeCell ref="C135:H135"/>
    <mergeCell ref="C136:H136"/>
    <mergeCell ref="C142:H142"/>
    <mergeCell ref="A144:H144"/>
    <mergeCell ref="I146:K146"/>
    <mergeCell ref="I147:K147"/>
    <mergeCell ref="I150:K150"/>
    <mergeCell ref="A6:A7"/>
    <mergeCell ref="G6:G7"/>
    <mergeCell ref="H6:H7"/>
    <mergeCell ref="I6:I7"/>
    <mergeCell ref="J6:J7"/>
    <mergeCell ref="K6:K7"/>
    <mergeCell ref="B6:C7"/>
  </mergeCells>
  <pageMargins left="0.357638888888889" right="0.357638888888889" top="0.802777777777778" bottom="1" header="0.5" footer="0.5"/>
  <pageSetup paperSize="5" scale="85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5"/>
  <sheetViews>
    <sheetView topLeftCell="A140" workbookViewId="0">
      <selection activeCell="G160" sqref="G160"/>
    </sheetView>
  </sheetViews>
  <sheetFormatPr defaultColWidth="9" defaultRowHeight="13"/>
  <cols>
    <col min="1" max="1" width="4.12727272727273" style="27" customWidth="1"/>
    <col min="2" max="2" width="37.1272727272727" style="27" customWidth="1"/>
    <col min="3" max="3" width="13.5" style="29" customWidth="1"/>
    <col min="4" max="4" width="11.8727272727273" style="27" customWidth="1"/>
    <col min="5" max="6" width="10.6272727272727" style="27" customWidth="1"/>
    <col min="7" max="7" width="15.1272727272727" style="27" customWidth="1"/>
    <col min="8" max="8" width="11.3727272727273" style="29" customWidth="1"/>
    <col min="9" max="9" width="9" style="27"/>
    <col min="10" max="10" width="10.5" style="30" customWidth="1"/>
    <col min="11" max="11" width="9" style="30"/>
    <col min="12" max="16384" width="9" style="27"/>
  </cols>
  <sheetData>
    <row r="1" s="27" customFormat="1" spans="1:11">
      <c r="A1" s="31" t="s">
        <v>971</v>
      </c>
      <c r="B1" s="31"/>
      <c r="C1" s="31"/>
      <c r="D1" s="31"/>
      <c r="E1" s="31"/>
      <c r="F1" s="31"/>
      <c r="G1" s="32"/>
      <c r="H1" s="31"/>
      <c r="I1" s="85"/>
      <c r="J1" s="87"/>
      <c r="K1" s="30"/>
    </row>
    <row r="2" s="27" customFormat="1" spans="1:11">
      <c r="A2" s="33"/>
      <c r="B2" s="34"/>
      <c r="C2" s="35"/>
      <c r="D2" s="36"/>
      <c r="E2" s="34"/>
      <c r="F2" s="34"/>
      <c r="G2" s="37"/>
      <c r="H2" s="38"/>
      <c r="I2" s="85"/>
      <c r="J2" s="87"/>
      <c r="K2" s="30"/>
    </row>
    <row r="3" s="27" customFormat="1" spans="1:11">
      <c r="A3" s="39" t="s">
        <v>972</v>
      </c>
      <c r="B3" s="40" t="s">
        <v>973</v>
      </c>
      <c r="C3" s="41" t="s">
        <v>974</v>
      </c>
      <c r="D3" s="39" t="s">
        <v>975</v>
      </c>
      <c r="E3" s="39"/>
      <c r="F3" s="39"/>
      <c r="G3" s="42" t="s">
        <v>976</v>
      </c>
      <c r="H3" s="41" t="s">
        <v>977</v>
      </c>
      <c r="I3" s="85"/>
      <c r="J3" s="87"/>
      <c r="K3" s="30"/>
    </row>
    <row r="4" s="27" customFormat="1" ht="26" spans="1:11">
      <c r="A4" s="39"/>
      <c r="B4" s="40"/>
      <c r="C4" s="41"/>
      <c r="D4" s="43" t="s">
        <v>197</v>
      </c>
      <c r="E4" s="40" t="s">
        <v>978</v>
      </c>
      <c r="F4" s="40" t="s">
        <v>979</v>
      </c>
      <c r="G4" s="42"/>
      <c r="H4" s="41"/>
      <c r="I4" s="85"/>
      <c r="J4" s="87"/>
      <c r="K4" s="30"/>
    </row>
    <row r="5" s="27" customFormat="1" spans="1:11">
      <c r="A5" s="509" t="s">
        <v>980</v>
      </c>
      <c r="B5" s="510" t="s">
        <v>981</v>
      </c>
      <c r="C5" s="506" t="s">
        <v>982</v>
      </c>
      <c r="D5" s="511" t="s">
        <v>983</v>
      </c>
      <c r="E5" s="509" t="s">
        <v>984</v>
      </c>
      <c r="F5" s="509" t="s">
        <v>985</v>
      </c>
      <c r="G5" s="512" t="s">
        <v>986</v>
      </c>
      <c r="H5" s="41"/>
      <c r="I5" s="85"/>
      <c r="J5" s="88"/>
      <c r="K5" s="30"/>
    </row>
    <row r="6" s="27" customFormat="1" ht="26.25" customHeight="1" spans="1:11">
      <c r="A6" s="49" t="s">
        <v>782</v>
      </c>
      <c r="B6" s="50" t="s">
        <v>314</v>
      </c>
      <c r="C6" s="46">
        <v>2315000000</v>
      </c>
      <c r="D6" s="51"/>
      <c r="E6" s="51"/>
      <c r="F6" s="513" t="s">
        <v>987</v>
      </c>
      <c r="G6" s="514" t="s">
        <v>784</v>
      </c>
      <c r="H6" s="41"/>
      <c r="I6" s="85"/>
      <c r="J6" s="88"/>
      <c r="K6" s="30"/>
    </row>
    <row r="7" s="27" customFormat="1" spans="1:11">
      <c r="A7" s="54"/>
      <c r="B7" s="55" t="s">
        <v>783</v>
      </c>
      <c r="C7" s="46"/>
      <c r="D7" s="51"/>
      <c r="E7" s="56"/>
      <c r="F7" s="56"/>
      <c r="G7" s="48"/>
      <c r="H7" s="41"/>
      <c r="I7" s="85"/>
      <c r="J7" s="88"/>
      <c r="K7" s="30"/>
    </row>
    <row r="8" s="27" customFormat="1" ht="39" spans="1:11">
      <c r="A8" s="54"/>
      <c r="B8" s="57" t="s">
        <v>785</v>
      </c>
      <c r="C8" s="46">
        <v>2315000000</v>
      </c>
      <c r="D8" s="58"/>
      <c r="E8" s="59"/>
      <c r="F8" s="60" t="s">
        <v>987</v>
      </c>
      <c r="G8" s="515" t="s">
        <v>784</v>
      </c>
      <c r="H8" s="62"/>
      <c r="I8" s="85"/>
      <c r="J8" s="88"/>
      <c r="K8" s="30"/>
    </row>
    <row r="9" s="28" customFormat="1" spans="1:11">
      <c r="A9" s="39" t="s">
        <v>988</v>
      </c>
      <c r="B9" s="63" t="s">
        <v>315</v>
      </c>
      <c r="C9" s="64">
        <v>415697560</v>
      </c>
      <c r="D9" s="65">
        <f>SUM(D13:D74)</f>
        <v>64946000</v>
      </c>
      <c r="E9" s="64">
        <f>E13</f>
        <v>21000000</v>
      </c>
      <c r="F9" s="66"/>
      <c r="G9" s="67">
        <f>C9+D9+E9</f>
        <v>501643560</v>
      </c>
      <c r="H9" s="64"/>
      <c r="I9" s="89"/>
      <c r="J9" s="90"/>
      <c r="K9" s="91"/>
    </row>
    <row r="10" s="28" customFormat="1" spans="1:11">
      <c r="A10" s="39" t="s">
        <v>22</v>
      </c>
      <c r="B10" s="63" t="s">
        <v>786</v>
      </c>
      <c r="C10" s="64">
        <v>26000000</v>
      </c>
      <c r="D10" s="68">
        <v>21000000</v>
      </c>
      <c r="E10" s="69">
        <f>E13</f>
        <v>21000000</v>
      </c>
      <c r="F10" s="66"/>
      <c r="G10" s="67">
        <f>SUM(G11:G13)</f>
        <v>47000000</v>
      </c>
      <c r="H10" s="64"/>
      <c r="I10" s="89"/>
      <c r="J10" s="90"/>
      <c r="K10" s="91"/>
    </row>
    <row r="11" s="27" customFormat="1" spans="1:11">
      <c r="A11" s="70"/>
      <c r="B11" s="59" t="s">
        <v>989</v>
      </c>
      <c r="C11" s="62">
        <v>11500000</v>
      </c>
      <c r="D11" s="71"/>
      <c r="E11" s="59"/>
      <c r="F11" s="59"/>
      <c r="G11" s="72">
        <v>11500000</v>
      </c>
      <c r="H11" s="62"/>
      <c r="I11" s="85"/>
      <c r="J11" s="88"/>
      <c r="K11" s="30"/>
    </row>
    <row r="12" s="27" customFormat="1" spans="1:11">
      <c r="A12" s="70"/>
      <c r="B12" s="59" t="s">
        <v>990</v>
      </c>
      <c r="C12" s="62">
        <v>14500000</v>
      </c>
      <c r="D12" s="71"/>
      <c r="E12" s="59"/>
      <c r="F12" s="59"/>
      <c r="G12" s="72">
        <v>14500000</v>
      </c>
      <c r="H12" s="62"/>
      <c r="I12" s="85"/>
      <c r="J12" s="88"/>
      <c r="K12" s="30"/>
    </row>
    <row r="13" s="27" customFormat="1" spans="1:11">
      <c r="A13" s="70"/>
      <c r="B13" s="73" t="s">
        <v>991</v>
      </c>
      <c r="C13" s="62"/>
      <c r="D13" s="74"/>
      <c r="E13" s="71">
        <v>21000000</v>
      </c>
      <c r="F13" s="59"/>
      <c r="G13" s="72">
        <v>21000000</v>
      </c>
      <c r="H13" s="62"/>
      <c r="I13" s="85"/>
      <c r="J13" s="88"/>
      <c r="K13" s="30"/>
    </row>
    <row r="14" s="27" customFormat="1" spans="1:11">
      <c r="A14" s="516" t="s">
        <v>24</v>
      </c>
      <c r="B14" s="63" t="s">
        <v>792</v>
      </c>
      <c r="C14" s="64">
        <v>196150000</v>
      </c>
      <c r="D14" s="58"/>
      <c r="E14" s="66"/>
      <c r="F14" s="66"/>
      <c r="G14" s="75">
        <f>SUM(G15:G36)</f>
        <v>279358985</v>
      </c>
      <c r="H14" s="64"/>
      <c r="I14" s="85"/>
      <c r="J14" s="88"/>
      <c r="K14" s="30"/>
    </row>
    <row r="15" s="27" customFormat="1" spans="1:11">
      <c r="A15" s="39"/>
      <c r="B15" s="74" t="s">
        <v>793</v>
      </c>
      <c r="C15" s="29">
        <v>71100000</v>
      </c>
      <c r="E15" s="62"/>
      <c r="F15" s="74"/>
      <c r="G15" s="76">
        <v>71100000</v>
      </c>
      <c r="H15" s="64"/>
      <c r="I15" s="85"/>
      <c r="J15" s="88"/>
      <c r="K15" s="30"/>
    </row>
    <row r="16" s="27" customFormat="1" spans="1:11">
      <c r="A16" s="70"/>
      <c r="B16" s="57" t="s">
        <v>797</v>
      </c>
      <c r="C16" s="62">
        <v>1500000</v>
      </c>
      <c r="D16" s="71"/>
      <c r="E16" s="59"/>
      <c r="F16" s="59"/>
      <c r="G16" s="77">
        <v>1500000</v>
      </c>
      <c r="H16" s="62"/>
      <c r="I16" s="85"/>
      <c r="J16" s="88"/>
      <c r="K16" s="30"/>
    </row>
    <row r="17" s="27" customFormat="1" spans="1:11">
      <c r="A17" s="70"/>
      <c r="B17" s="57" t="s">
        <v>799</v>
      </c>
      <c r="C17" s="62">
        <v>2700000</v>
      </c>
      <c r="D17" s="71"/>
      <c r="E17" s="59"/>
      <c r="F17" s="59"/>
      <c r="G17" s="77">
        <v>2700000</v>
      </c>
      <c r="H17" s="62"/>
      <c r="I17" s="85"/>
      <c r="J17" s="88"/>
      <c r="K17" s="30"/>
    </row>
    <row r="18" s="27" customFormat="1" spans="1:11">
      <c r="A18" s="70"/>
      <c r="B18" s="57" t="s">
        <v>801</v>
      </c>
      <c r="C18" s="62">
        <v>700000</v>
      </c>
      <c r="D18" s="71"/>
      <c r="E18" s="59"/>
      <c r="F18" s="59"/>
      <c r="G18" s="77">
        <v>700000</v>
      </c>
      <c r="H18" s="62"/>
      <c r="I18" s="85"/>
      <c r="J18" s="88"/>
      <c r="K18" s="30"/>
    </row>
    <row r="19" s="27" customFormat="1" spans="1:11">
      <c r="A19" s="70"/>
      <c r="B19" s="57" t="s">
        <v>803</v>
      </c>
      <c r="C19" s="62">
        <v>3000000</v>
      </c>
      <c r="D19" s="71"/>
      <c r="E19" s="59"/>
      <c r="F19" s="59"/>
      <c r="G19" s="77">
        <v>3000000</v>
      </c>
      <c r="H19" s="62"/>
      <c r="I19" s="85"/>
      <c r="J19" s="88"/>
      <c r="K19" s="30"/>
    </row>
    <row r="20" s="27" customFormat="1" spans="1:11">
      <c r="A20" s="70"/>
      <c r="B20" s="57" t="s">
        <v>805</v>
      </c>
      <c r="C20" s="62">
        <v>3600000</v>
      </c>
      <c r="D20" s="71"/>
      <c r="E20" s="59"/>
      <c r="F20" s="59"/>
      <c r="G20" s="77">
        <v>3600000</v>
      </c>
      <c r="H20" s="62"/>
      <c r="I20" s="85"/>
      <c r="J20" s="88"/>
      <c r="K20" s="30"/>
    </row>
    <row r="21" s="27" customFormat="1" spans="1:11">
      <c r="A21" s="70"/>
      <c r="B21" s="57" t="s">
        <v>807</v>
      </c>
      <c r="C21" s="62">
        <v>750000</v>
      </c>
      <c r="D21" s="71"/>
      <c r="E21" s="59"/>
      <c r="F21" s="59"/>
      <c r="G21" s="77">
        <v>750000</v>
      </c>
      <c r="H21" s="62"/>
      <c r="I21" s="85"/>
      <c r="J21" s="88"/>
      <c r="K21" s="30"/>
    </row>
    <row r="22" s="27" customFormat="1" spans="1:11">
      <c r="A22" s="70"/>
      <c r="B22" s="57" t="s">
        <v>810</v>
      </c>
      <c r="C22" s="62">
        <v>300000</v>
      </c>
      <c r="D22" s="71"/>
      <c r="E22" s="59"/>
      <c r="F22" s="59"/>
      <c r="G22" s="77">
        <v>300000</v>
      </c>
      <c r="H22" s="62"/>
      <c r="I22" s="85"/>
      <c r="J22" s="88"/>
      <c r="K22" s="30"/>
    </row>
    <row r="23" s="27" customFormat="1" spans="1:11">
      <c r="A23" s="70"/>
      <c r="B23" s="57" t="s">
        <v>813</v>
      </c>
      <c r="C23" s="62">
        <v>3000000</v>
      </c>
      <c r="D23" s="71"/>
      <c r="E23" s="59"/>
      <c r="F23" s="59"/>
      <c r="G23" s="77">
        <v>3000000</v>
      </c>
      <c r="H23" s="62"/>
      <c r="I23" s="85"/>
      <c r="J23" s="88"/>
      <c r="K23" s="30"/>
    </row>
    <row r="24" s="27" customFormat="1" spans="1:11">
      <c r="A24" s="70"/>
      <c r="B24" s="57" t="s">
        <v>814</v>
      </c>
      <c r="C24" s="62">
        <v>6000000</v>
      </c>
      <c r="D24" s="71"/>
      <c r="E24" s="59"/>
      <c r="F24" s="59"/>
      <c r="G24" s="78">
        <v>6000000</v>
      </c>
      <c r="H24" s="62"/>
      <c r="I24" s="85"/>
      <c r="J24" s="88"/>
      <c r="K24" s="30"/>
    </row>
    <row r="25" s="27" customFormat="1" spans="1:11">
      <c r="A25" s="70"/>
      <c r="B25" s="57" t="s">
        <v>816</v>
      </c>
      <c r="C25" s="62">
        <v>10700000</v>
      </c>
      <c r="D25" s="71">
        <v>25000000</v>
      </c>
      <c r="E25" s="59"/>
      <c r="F25" s="59"/>
      <c r="G25" s="79">
        <f>D25+C25</f>
        <v>35700000</v>
      </c>
      <c r="H25" s="62"/>
      <c r="I25" s="85"/>
      <c r="J25" s="88"/>
      <c r="K25" s="30"/>
    </row>
    <row r="26" s="27" customFormat="1" spans="1:11">
      <c r="A26" s="70"/>
      <c r="B26" s="57" t="s">
        <v>818</v>
      </c>
      <c r="C26" s="62">
        <v>13200000</v>
      </c>
      <c r="D26" s="71"/>
      <c r="E26" s="59"/>
      <c r="F26" s="59"/>
      <c r="G26" s="79">
        <v>59562985</v>
      </c>
      <c r="H26" s="62"/>
      <c r="I26" s="85"/>
      <c r="J26" s="88"/>
      <c r="K26" s="30"/>
    </row>
    <row r="27" s="27" customFormat="1" spans="1:11">
      <c r="A27" s="70"/>
      <c r="B27" s="57" t="s">
        <v>821</v>
      </c>
      <c r="C27" s="62">
        <v>4800000</v>
      </c>
      <c r="D27" s="71"/>
      <c r="E27" s="59"/>
      <c r="F27" s="59"/>
      <c r="G27" s="79">
        <v>4800000</v>
      </c>
      <c r="H27" s="62"/>
      <c r="I27" s="85"/>
      <c r="J27" s="88"/>
      <c r="K27" s="30"/>
    </row>
    <row r="28" s="27" customFormat="1" spans="1:11">
      <c r="A28" s="70"/>
      <c r="B28" s="57" t="s">
        <v>823</v>
      </c>
      <c r="C28" s="62">
        <v>2100000</v>
      </c>
      <c r="D28" s="71"/>
      <c r="E28" s="59"/>
      <c r="F28" s="59"/>
      <c r="G28" s="80">
        <v>2100000</v>
      </c>
      <c r="H28" s="62"/>
      <c r="I28" s="85"/>
      <c r="J28" s="88"/>
      <c r="K28" s="30"/>
    </row>
    <row r="29" s="27" customFormat="1" spans="1:11">
      <c r="A29" s="70"/>
      <c r="B29" s="57" t="s">
        <v>825</v>
      </c>
      <c r="C29" s="62">
        <v>2000000</v>
      </c>
      <c r="D29" s="71"/>
      <c r="E29" s="59"/>
      <c r="F29" s="59"/>
      <c r="G29" s="80">
        <v>2000000</v>
      </c>
      <c r="H29" s="62"/>
      <c r="I29" s="85"/>
      <c r="J29" s="88"/>
      <c r="K29" s="30"/>
    </row>
    <row r="30" s="27" customFormat="1" spans="1:11">
      <c r="A30" s="70"/>
      <c r="B30" s="57" t="s">
        <v>826</v>
      </c>
      <c r="C30" s="62">
        <v>25400000</v>
      </c>
      <c r="D30" s="71"/>
      <c r="E30" s="59"/>
      <c r="F30" s="59"/>
      <c r="G30" s="79">
        <v>20000000</v>
      </c>
      <c r="H30" s="62"/>
      <c r="I30" s="85"/>
      <c r="J30" s="88"/>
      <c r="K30" s="30"/>
    </row>
    <row r="31" s="27" customFormat="1" spans="1:11">
      <c r="A31" s="70"/>
      <c r="B31" s="57" t="s">
        <v>827</v>
      </c>
      <c r="C31" s="62">
        <v>4000000</v>
      </c>
      <c r="D31" s="71"/>
      <c r="E31" s="59"/>
      <c r="F31" s="59"/>
      <c r="G31" s="77">
        <v>25400000</v>
      </c>
      <c r="H31" s="62"/>
      <c r="I31" s="85"/>
      <c r="J31" s="88"/>
      <c r="K31" s="30"/>
    </row>
    <row r="32" s="27" customFormat="1" spans="1:11">
      <c r="A32" s="70"/>
      <c r="B32" s="57" t="s">
        <v>829</v>
      </c>
      <c r="C32" s="62">
        <v>7000000</v>
      </c>
      <c r="D32" s="71"/>
      <c r="E32" s="59"/>
      <c r="F32" s="59"/>
      <c r="G32" s="77">
        <v>4000000</v>
      </c>
      <c r="H32" s="62"/>
      <c r="I32" s="85"/>
      <c r="J32" s="88"/>
      <c r="K32" s="30"/>
    </row>
    <row r="33" s="27" customFormat="1" spans="1:11">
      <c r="A33" s="70"/>
      <c r="B33" s="57" t="s">
        <v>830</v>
      </c>
      <c r="C33" s="62">
        <v>6400000</v>
      </c>
      <c r="D33" s="71"/>
      <c r="E33" s="59"/>
      <c r="F33" s="59"/>
      <c r="G33" s="77">
        <v>7000000</v>
      </c>
      <c r="H33" s="62"/>
      <c r="I33" s="85"/>
      <c r="J33" s="88"/>
      <c r="K33" s="30"/>
    </row>
    <row r="34" s="27" customFormat="1" spans="1:11">
      <c r="A34" s="70"/>
      <c r="B34" s="57" t="s">
        <v>831</v>
      </c>
      <c r="C34" s="62">
        <v>3400000</v>
      </c>
      <c r="D34" s="71"/>
      <c r="E34" s="81"/>
      <c r="F34" s="59"/>
      <c r="G34" s="77">
        <v>6400000</v>
      </c>
      <c r="H34" s="62"/>
      <c r="I34" s="85"/>
      <c r="J34" s="88"/>
      <c r="K34" s="30"/>
    </row>
    <row r="35" s="27" customFormat="1" spans="1:11">
      <c r="A35" s="70"/>
      <c r="B35" s="55" t="s">
        <v>832</v>
      </c>
      <c r="C35" s="62">
        <v>20000000</v>
      </c>
      <c r="D35" s="82"/>
      <c r="E35" s="81"/>
      <c r="F35" s="59"/>
      <c r="G35" s="77">
        <v>3400000</v>
      </c>
      <c r="H35" s="62"/>
      <c r="I35" s="85"/>
      <c r="J35" s="87"/>
      <c r="K35" s="30"/>
    </row>
    <row r="36" s="27" customFormat="1" spans="1:11">
      <c r="A36" s="70"/>
      <c r="B36" s="57" t="s">
        <v>833</v>
      </c>
      <c r="C36" s="62">
        <v>4500000</v>
      </c>
      <c r="D36" s="83">
        <v>11846000</v>
      </c>
      <c r="E36" s="59"/>
      <c r="F36" s="59"/>
      <c r="G36" s="77">
        <f>D36+C36</f>
        <v>16346000</v>
      </c>
      <c r="H36" s="62"/>
      <c r="I36" s="85"/>
      <c r="J36" s="88"/>
      <c r="K36" s="30"/>
    </row>
    <row r="37" s="27" customFormat="1" spans="1:11">
      <c r="A37" s="516" t="s">
        <v>26</v>
      </c>
      <c r="B37" s="63" t="s">
        <v>834</v>
      </c>
      <c r="C37" s="64">
        <v>5722400</v>
      </c>
      <c r="D37" s="84"/>
      <c r="E37" s="66"/>
      <c r="F37" s="66"/>
      <c r="G37" s="75">
        <f>SUM(G38:G44)</f>
        <v>30722400</v>
      </c>
      <c r="H37" s="64"/>
      <c r="I37" s="85"/>
      <c r="J37" s="88"/>
      <c r="K37" s="30"/>
    </row>
    <row r="38" s="27" customFormat="1" spans="1:11">
      <c r="A38" s="39"/>
      <c r="B38" s="73" t="s">
        <v>835</v>
      </c>
      <c r="C38" s="64"/>
      <c r="D38" s="82">
        <v>25000000</v>
      </c>
      <c r="E38" s="66"/>
      <c r="F38" s="66"/>
      <c r="G38" s="72">
        <f>D38</f>
        <v>25000000</v>
      </c>
      <c r="H38" s="64"/>
      <c r="I38" s="85"/>
      <c r="J38" s="88"/>
      <c r="K38" s="30"/>
    </row>
    <row r="39" s="27" customFormat="1" spans="1:11">
      <c r="A39" s="39"/>
      <c r="B39" s="73" t="s">
        <v>836</v>
      </c>
      <c r="C39" s="62">
        <v>620000</v>
      </c>
      <c r="D39" s="85"/>
      <c r="E39" s="66"/>
      <c r="F39" s="66"/>
      <c r="G39" s="72">
        <v>620000</v>
      </c>
      <c r="H39" s="64"/>
      <c r="I39" s="92"/>
      <c r="J39" s="88"/>
      <c r="K39" s="30"/>
    </row>
    <row r="40" s="27" customFormat="1" spans="1:11">
      <c r="A40" s="70"/>
      <c r="B40" s="57" t="s">
        <v>837</v>
      </c>
      <c r="C40" s="62">
        <v>3350000</v>
      </c>
      <c r="D40" s="71"/>
      <c r="E40" s="59"/>
      <c r="F40" s="59"/>
      <c r="G40" s="77">
        <v>3350000</v>
      </c>
      <c r="H40" s="62"/>
      <c r="I40" s="93"/>
      <c r="J40" s="88"/>
      <c r="K40" s="30"/>
    </row>
    <row r="41" s="27" customFormat="1" spans="1:11">
      <c r="A41" s="70"/>
      <c r="B41" s="57" t="s">
        <v>838</v>
      </c>
      <c r="C41" s="62">
        <v>250000</v>
      </c>
      <c r="D41" s="71"/>
      <c r="E41" s="59"/>
      <c r="F41" s="59"/>
      <c r="G41" s="77">
        <v>250000</v>
      </c>
      <c r="H41" s="62"/>
      <c r="I41" s="93"/>
      <c r="J41" s="88"/>
      <c r="K41" s="30"/>
    </row>
    <row r="42" s="27" customFormat="1" spans="1:11">
      <c r="A42" s="70"/>
      <c r="B42" s="57" t="s">
        <v>839</v>
      </c>
      <c r="C42" s="62">
        <v>402400</v>
      </c>
      <c r="D42" s="71"/>
      <c r="E42" s="59"/>
      <c r="F42" s="59"/>
      <c r="G42" s="77">
        <v>402400</v>
      </c>
      <c r="H42" s="62"/>
      <c r="I42" s="93"/>
      <c r="J42" s="88"/>
      <c r="K42" s="30"/>
    </row>
    <row r="43" s="27" customFormat="1" spans="1:11">
      <c r="A43" s="70"/>
      <c r="B43" s="57" t="s">
        <v>840</v>
      </c>
      <c r="C43" s="62">
        <v>750000</v>
      </c>
      <c r="D43" s="71"/>
      <c r="E43" s="59"/>
      <c r="F43" s="59"/>
      <c r="G43" s="77">
        <v>750000</v>
      </c>
      <c r="H43" s="62"/>
      <c r="I43" s="85"/>
      <c r="J43" s="88"/>
      <c r="K43" s="30"/>
    </row>
    <row r="44" s="27" customFormat="1" spans="1:11">
      <c r="A44" s="70"/>
      <c r="B44" s="57" t="s">
        <v>841</v>
      </c>
      <c r="C44" s="62">
        <v>350000</v>
      </c>
      <c r="D44" s="71"/>
      <c r="E44" s="59"/>
      <c r="F44" s="59"/>
      <c r="G44" s="77">
        <v>350000</v>
      </c>
      <c r="H44" s="62"/>
      <c r="I44" s="85"/>
      <c r="J44" s="87"/>
      <c r="K44" s="30"/>
    </row>
    <row r="45" s="27" customFormat="1" spans="1:11">
      <c r="A45" s="516" t="s">
        <v>28</v>
      </c>
      <c r="B45" s="63" t="s">
        <v>842</v>
      </c>
      <c r="C45" s="64">
        <v>132628000</v>
      </c>
      <c r="D45" s="58"/>
      <c r="E45" s="66"/>
      <c r="F45" s="66"/>
      <c r="G45" s="75">
        <f>SUM(G46:G63)</f>
        <v>137728000</v>
      </c>
      <c r="H45" s="64"/>
      <c r="I45" s="85"/>
      <c r="J45" s="88"/>
      <c r="K45" s="30"/>
    </row>
    <row r="46" s="27" customFormat="1" spans="1:11">
      <c r="A46" s="39"/>
      <c r="B46" s="57" t="s">
        <v>843</v>
      </c>
      <c r="C46" s="62">
        <v>55000000</v>
      </c>
      <c r="D46" s="86"/>
      <c r="E46" s="59"/>
      <c r="F46" s="59"/>
      <c r="G46" s="80">
        <v>57000000</v>
      </c>
      <c r="H46" s="64"/>
      <c r="I46" s="85"/>
      <c r="J46" s="88"/>
      <c r="K46" s="30"/>
    </row>
    <row r="47" s="27" customFormat="1" spans="1:11">
      <c r="A47" s="39"/>
      <c r="B47" s="57" t="s">
        <v>849</v>
      </c>
      <c r="C47" s="62">
        <v>18149000</v>
      </c>
      <c r="D47" s="71"/>
      <c r="E47" s="59"/>
      <c r="F47" s="59"/>
      <c r="G47" s="77">
        <v>18149000</v>
      </c>
      <c r="H47" s="64"/>
      <c r="I47" s="85"/>
      <c r="J47" s="88"/>
      <c r="K47" s="30"/>
    </row>
    <row r="48" s="27" customFormat="1" spans="1:11">
      <c r="A48" s="39"/>
      <c r="B48" s="57" t="s">
        <v>847</v>
      </c>
      <c r="C48" s="62">
        <v>6475000</v>
      </c>
      <c r="D48" s="71"/>
      <c r="E48" s="59"/>
      <c r="F48" s="59"/>
      <c r="G48" s="77">
        <v>6475000</v>
      </c>
      <c r="H48" s="64"/>
      <c r="I48" s="85"/>
      <c r="J48" s="88"/>
      <c r="K48" s="30"/>
    </row>
    <row r="49" s="27" customFormat="1" spans="1:11">
      <c r="A49" s="39"/>
      <c r="B49" s="57" t="s">
        <v>850</v>
      </c>
      <c r="C49" s="62">
        <v>5350000</v>
      </c>
      <c r="D49" s="71"/>
      <c r="E49" s="59"/>
      <c r="F49" s="59"/>
      <c r="G49" s="77">
        <v>5350000</v>
      </c>
      <c r="H49" s="64"/>
      <c r="I49" s="85"/>
      <c r="J49" s="88"/>
      <c r="K49" s="30"/>
    </row>
    <row r="50" s="27" customFormat="1" spans="1:11">
      <c r="A50" s="39"/>
      <c r="B50" s="57" t="s">
        <v>851</v>
      </c>
      <c r="C50" s="62">
        <v>7704000</v>
      </c>
      <c r="D50" s="71"/>
      <c r="E50" s="59"/>
      <c r="F50" s="59"/>
      <c r="G50" s="77">
        <v>7704000</v>
      </c>
      <c r="H50" s="64"/>
      <c r="I50" s="85"/>
      <c r="J50" s="88"/>
      <c r="K50" s="30"/>
    </row>
    <row r="51" s="27" customFormat="1" spans="1:11">
      <c r="A51" s="39"/>
      <c r="B51" s="57" t="s">
        <v>853</v>
      </c>
      <c r="C51" s="62">
        <v>13500000</v>
      </c>
      <c r="D51" s="71"/>
      <c r="E51" s="59"/>
      <c r="F51" s="59"/>
      <c r="G51" s="77">
        <v>13500000</v>
      </c>
      <c r="H51" s="64"/>
      <c r="I51" s="85"/>
      <c r="J51" s="88"/>
      <c r="K51" s="30"/>
    </row>
    <row r="52" s="27" customFormat="1" spans="1:11">
      <c r="A52" s="39"/>
      <c r="B52" s="57" t="s">
        <v>992</v>
      </c>
      <c r="C52" s="62">
        <v>8000000</v>
      </c>
      <c r="D52" s="71"/>
      <c r="E52" s="59"/>
      <c r="F52" s="59"/>
      <c r="G52" s="77">
        <v>8000000</v>
      </c>
      <c r="H52" s="64"/>
      <c r="I52" s="85"/>
      <c r="J52" s="88"/>
      <c r="K52" s="30"/>
    </row>
    <row r="53" s="27" customFormat="1" spans="1:11">
      <c r="A53" s="39"/>
      <c r="B53" s="73" t="s">
        <v>855</v>
      </c>
      <c r="C53" s="62">
        <v>2075000</v>
      </c>
      <c r="D53" s="71"/>
      <c r="E53" s="59"/>
      <c r="F53" s="66"/>
      <c r="G53" s="72">
        <v>2075000</v>
      </c>
      <c r="H53" s="64"/>
      <c r="I53" s="85"/>
      <c r="J53" s="88"/>
      <c r="K53" s="30"/>
    </row>
    <row r="54" s="27" customFormat="1" spans="1:11">
      <c r="A54" s="39"/>
      <c r="B54" s="73" t="s">
        <v>857</v>
      </c>
      <c r="C54" s="62">
        <v>2175000</v>
      </c>
      <c r="D54" s="71"/>
      <c r="E54" s="59"/>
      <c r="F54" s="66"/>
      <c r="G54" s="72">
        <v>2175000</v>
      </c>
      <c r="H54" s="64"/>
      <c r="I54" s="85"/>
      <c r="J54" s="88"/>
      <c r="K54" s="30"/>
    </row>
    <row r="55" s="27" customFormat="1" spans="1:11">
      <c r="A55" s="39"/>
      <c r="B55" s="73" t="s">
        <v>858</v>
      </c>
      <c r="C55" s="62">
        <v>650000</v>
      </c>
      <c r="D55" s="71"/>
      <c r="E55" s="59"/>
      <c r="F55" s="66"/>
      <c r="G55" s="72">
        <v>650000</v>
      </c>
      <c r="H55" s="64"/>
      <c r="I55" s="85"/>
      <c r="J55" s="88"/>
      <c r="K55" s="30"/>
    </row>
    <row r="56" s="27" customFormat="1" spans="1:11">
      <c r="A56" s="39"/>
      <c r="B56" s="57" t="s">
        <v>859</v>
      </c>
      <c r="C56" s="62">
        <v>950000</v>
      </c>
      <c r="D56" s="71"/>
      <c r="E56" s="59"/>
      <c r="F56" s="59"/>
      <c r="G56" s="77">
        <v>950000</v>
      </c>
      <c r="H56" s="64"/>
      <c r="I56" s="85"/>
      <c r="J56" s="88"/>
      <c r="K56" s="30"/>
    </row>
    <row r="57" s="27" customFormat="1" spans="1:11">
      <c r="A57" s="39"/>
      <c r="B57" s="57" t="s">
        <v>861</v>
      </c>
      <c r="C57" s="62">
        <v>1050000</v>
      </c>
      <c r="D57" s="71"/>
      <c r="E57" s="59"/>
      <c r="F57" s="59"/>
      <c r="G57" s="77">
        <v>1050000</v>
      </c>
      <c r="H57" s="64"/>
      <c r="I57" s="85"/>
      <c r="J57" s="88"/>
      <c r="K57" s="30"/>
    </row>
    <row r="58" s="27" customFormat="1" spans="1:11">
      <c r="A58" s="39"/>
      <c r="B58" s="57" t="s">
        <v>869</v>
      </c>
      <c r="C58" s="62">
        <v>2000000</v>
      </c>
      <c r="D58" s="71"/>
      <c r="E58" s="59"/>
      <c r="F58" s="59"/>
      <c r="G58" s="77">
        <v>2000000</v>
      </c>
      <c r="H58" s="64"/>
      <c r="I58" s="85"/>
      <c r="J58" s="87"/>
      <c r="K58" s="30"/>
    </row>
    <row r="59" s="27" customFormat="1" spans="1:11">
      <c r="A59" s="70"/>
      <c r="B59" s="57" t="s">
        <v>862</v>
      </c>
      <c r="C59" s="62">
        <v>650000</v>
      </c>
      <c r="D59" s="71">
        <v>900000</v>
      </c>
      <c r="E59" s="59"/>
      <c r="F59" s="59"/>
      <c r="G59" s="77">
        <f>D59+C59</f>
        <v>1550000</v>
      </c>
      <c r="H59" s="62"/>
      <c r="I59" s="85"/>
      <c r="J59" s="88"/>
      <c r="K59" s="30"/>
    </row>
    <row r="60" s="27" customFormat="1" spans="1:11">
      <c r="A60" s="70"/>
      <c r="B60" s="57" t="s">
        <v>863</v>
      </c>
      <c r="C60" s="62">
        <v>1050000</v>
      </c>
      <c r="D60" s="71"/>
      <c r="E60" s="59"/>
      <c r="F60" s="59"/>
      <c r="G60" s="77">
        <v>1050000</v>
      </c>
      <c r="H60" s="62"/>
      <c r="I60" s="85"/>
      <c r="J60" s="88"/>
      <c r="K60" s="30"/>
    </row>
    <row r="61" s="27" customFormat="1" spans="1:11">
      <c r="A61" s="70"/>
      <c r="B61" s="57" t="s">
        <v>866</v>
      </c>
      <c r="C61" s="62">
        <v>1650000</v>
      </c>
      <c r="D61" s="71"/>
      <c r="E61" s="59"/>
      <c r="F61" s="59"/>
      <c r="G61" s="77">
        <v>1650000</v>
      </c>
      <c r="H61" s="62"/>
      <c r="I61" s="85"/>
      <c r="J61" s="88"/>
      <c r="K61" s="30"/>
    </row>
    <row r="62" s="27" customFormat="1" spans="1:11">
      <c r="A62" s="70"/>
      <c r="B62" s="57" t="s">
        <v>867</v>
      </c>
      <c r="C62" s="62">
        <v>4500000</v>
      </c>
      <c r="D62" s="71"/>
      <c r="E62" s="59"/>
      <c r="F62" s="59"/>
      <c r="G62" s="77">
        <v>4500000</v>
      </c>
      <c r="H62" s="62"/>
      <c r="I62" s="85"/>
      <c r="J62" s="88"/>
      <c r="K62" s="30"/>
    </row>
    <row r="63" s="27" customFormat="1" spans="1:11">
      <c r="A63" s="70"/>
      <c r="B63" s="57" t="s">
        <v>870</v>
      </c>
      <c r="C63" s="62">
        <v>1700000</v>
      </c>
      <c r="D63" s="71">
        <v>2200000</v>
      </c>
      <c r="E63" s="59"/>
      <c r="F63" s="59"/>
      <c r="G63" s="77">
        <f>D63+C63</f>
        <v>3900000</v>
      </c>
      <c r="H63" s="62"/>
      <c r="I63" s="94"/>
      <c r="J63" s="88"/>
      <c r="K63" s="30"/>
    </row>
    <row r="64" s="27" customFormat="1" spans="1:11">
      <c r="A64" s="516" t="s">
        <v>30</v>
      </c>
      <c r="B64" s="63" t="s">
        <v>871</v>
      </c>
      <c r="C64" s="64">
        <v>55197160</v>
      </c>
      <c r="D64" s="58"/>
      <c r="E64" s="66"/>
      <c r="F64" s="66"/>
      <c r="G64" s="75">
        <f>SUM(G65:G75)</f>
        <v>55197160</v>
      </c>
      <c r="H64" s="64"/>
      <c r="I64" s="94"/>
      <c r="J64" s="88"/>
      <c r="K64" s="30"/>
    </row>
    <row r="65" s="27" customFormat="1" spans="1:11">
      <c r="A65" s="39"/>
      <c r="B65" s="73" t="s">
        <v>872</v>
      </c>
      <c r="C65" s="62">
        <v>4000000</v>
      </c>
      <c r="D65" s="71"/>
      <c r="E65" s="59"/>
      <c r="F65" s="66"/>
      <c r="G65" s="72">
        <v>4000000</v>
      </c>
      <c r="H65" s="64"/>
      <c r="I65" s="94"/>
      <c r="J65" s="88"/>
      <c r="K65" s="30"/>
    </row>
    <row r="66" s="27" customFormat="1" spans="1:11">
      <c r="A66" s="39"/>
      <c r="B66" s="73" t="s">
        <v>993</v>
      </c>
      <c r="C66" s="62">
        <v>2850000</v>
      </c>
      <c r="D66" s="71"/>
      <c r="E66" s="59"/>
      <c r="F66" s="66"/>
      <c r="G66" s="72">
        <v>2850000</v>
      </c>
      <c r="H66" s="64"/>
      <c r="I66" s="94"/>
      <c r="J66" s="88"/>
      <c r="K66" s="30"/>
    </row>
    <row r="67" s="27" customFormat="1" spans="1:12">
      <c r="A67" s="59"/>
      <c r="B67" s="73" t="s">
        <v>873</v>
      </c>
      <c r="C67" s="62">
        <v>250000</v>
      </c>
      <c r="D67" s="71"/>
      <c r="E67" s="59"/>
      <c r="F67" s="59"/>
      <c r="G67" s="72">
        <v>250000</v>
      </c>
      <c r="H67" s="62"/>
      <c r="I67" s="94"/>
      <c r="J67" s="88"/>
      <c r="K67" s="87"/>
      <c r="L67" s="85"/>
    </row>
    <row r="68" s="27" customFormat="1" spans="1:12">
      <c r="A68" s="59"/>
      <c r="B68" s="73" t="s">
        <v>874</v>
      </c>
      <c r="C68" s="62">
        <v>150000</v>
      </c>
      <c r="D68" s="71"/>
      <c r="E68" s="59"/>
      <c r="F68" s="59"/>
      <c r="G68" s="72">
        <v>150000</v>
      </c>
      <c r="H68" s="62"/>
      <c r="I68" s="93"/>
      <c r="J68" s="88"/>
      <c r="K68" s="87"/>
      <c r="L68" s="85"/>
    </row>
    <row r="69" s="27" customFormat="1" spans="1:12">
      <c r="A69" s="70"/>
      <c r="B69" s="57" t="s">
        <v>875</v>
      </c>
      <c r="C69" s="62">
        <v>6847160</v>
      </c>
      <c r="D69" s="71"/>
      <c r="E69" s="59"/>
      <c r="F69" s="59"/>
      <c r="G69" s="77">
        <v>6847160</v>
      </c>
      <c r="H69" s="62"/>
      <c r="I69" s="93"/>
      <c r="J69" s="88"/>
      <c r="K69" s="87"/>
      <c r="L69" s="85"/>
    </row>
    <row r="70" s="27" customFormat="1" spans="1:12">
      <c r="A70" s="70"/>
      <c r="B70" s="57" t="s">
        <v>876</v>
      </c>
      <c r="C70" s="62">
        <v>15000000</v>
      </c>
      <c r="D70" s="71"/>
      <c r="E70" s="59"/>
      <c r="F70" s="59"/>
      <c r="G70" s="77">
        <v>15000000</v>
      </c>
      <c r="H70" s="62"/>
      <c r="I70" s="88"/>
      <c r="J70" s="87"/>
      <c r="K70" s="87"/>
      <c r="L70" s="85"/>
    </row>
    <row r="71" s="27" customFormat="1" spans="1:12">
      <c r="A71" s="70"/>
      <c r="B71" s="57" t="s">
        <v>880</v>
      </c>
      <c r="C71" s="62">
        <v>5650000</v>
      </c>
      <c r="D71" s="71"/>
      <c r="E71" s="59"/>
      <c r="F71" s="59"/>
      <c r="G71" s="77">
        <v>5650000</v>
      </c>
      <c r="H71" s="62"/>
      <c r="I71" s="85"/>
      <c r="J71" s="88"/>
      <c r="K71" s="87"/>
      <c r="L71" s="85"/>
    </row>
    <row r="72" s="27" customFormat="1" spans="1:12">
      <c r="A72" s="70"/>
      <c r="B72" s="57" t="s">
        <v>881</v>
      </c>
      <c r="C72" s="62">
        <v>1450000</v>
      </c>
      <c r="D72" s="71"/>
      <c r="E72" s="59"/>
      <c r="F72" s="59"/>
      <c r="G72" s="77">
        <v>1450000</v>
      </c>
      <c r="H72" s="62"/>
      <c r="I72" s="85"/>
      <c r="J72" s="88"/>
      <c r="K72" s="87"/>
      <c r="L72" s="85"/>
    </row>
    <row r="73" s="27" customFormat="1" spans="1:12">
      <c r="A73" s="70"/>
      <c r="B73" s="57" t="s">
        <v>882</v>
      </c>
      <c r="C73" s="62">
        <v>5700000</v>
      </c>
      <c r="D73" s="71"/>
      <c r="E73" s="59"/>
      <c r="F73" s="59"/>
      <c r="G73" s="77">
        <v>5700000</v>
      </c>
      <c r="H73" s="62"/>
      <c r="I73" s="85"/>
      <c r="J73" s="88"/>
      <c r="K73" s="87"/>
      <c r="L73" s="85"/>
    </row>
    <row r="74" s="27" customFormat="1" spans="1:12">
      <c r="A74" s="70"/>
      <c r="B74" s="95" t="s">
        <v>878</v>
      </c>
      <c r="C74" s="62">
        <v>5000000</v>
      </c>
      <c r="D74" s="82"/>
      <c r="E74" s="96"/>
      <c r="F74" s="59"/>
      <c r="G74" s="77">
        <v>5000000</v>
      </c>
      <c r="H74" s="62"/>
      <c r="I74" s="85"/>
      <c r="J74" s="87"/>
      <c r="K74" s="87"/>
      <c r="L74" s="85"/>
    </row>
    <row r="75" s="27" customFormat="1" spans="1:12">
      <c r="A75" s="70"/>
      <c r="B75" s="57" t="s">
        <v>884</v>
      </c>
      <c r="C75" s="62">
        <v>8300000</v>
      </c>
      <c r="D75" s="71"/>
      <c r="E75" s="59"/>
      <c r="F75" s="59"/>
      <c r="G75" s="77">
        <v>8300000</v>
      </c>
      <c r="H75" s="62"/>
      <c r="I75" s="85"/>
      <c r="J75" s="87"/>
      <c r="K75" s="87"/>
      <c r="L75" s="85"/>
    </row>
    <row r="76" s="27" customFormat="1" spans="3:12">
      <c r="C76" s="29"/>
      <c r="H76" s="29"/>
      <c r="I76" s="85"/>
      <c r="J76" s="87"/>
      <c r="K76" s="87"/>
      <c r="L76" s="85"/>
    </row>
    <row r="77" s="27" customFormat="1" spans="3:12">
      <c r="C77" s="29"/>
      <c r="H77" s="29"/>
      <c r="I77" s="85"/>
      <c r="J77" s="87"/>
      <c r="K77" s="87"/>
      <c r="L77" s="85"/>
    </row>
    <row r="78" s="27" customFormat="1" spans="3:12">
      <c r="C78" s="29"/>
      <c r="H78" s="29"/>
      <c r="I78" s="85"/>
      <c r="J78" s="87"/>
      <c r="K78" s="87"/>
      <c r="L78" s="85"/>
    </row>
    <row r="79" s="27" customFormat="1" spans="3:12">
      <c r="C79" s="29"/>
      <c r="H79" s="29"/>
      <c r="I79" s="85"/>
      <c r="J79" s="87"/>
      <c r="K79" s="87"/>
      <c r="L79" s="85"/>
    </row>
    <row r="80" s="27" customFormat="1" spans="3:12">
      <c r="C80" s="29"/>
      <c r="H80" s="29"/>
      <c r="I80" s="85"/>
      <c r="J80" s="87"/>
      <c r="K80" s="87"/>
      <c r="L80" s="85"/>
    </row>
    <row r="81" s="27" customFormat="1" spans="3:12">
      <c r="C81" s="29"/>
      <c r="H81" s="29"/>
      <c r="I81" s="85"/>
      <c r="J81" s="87"/>
      <c r="K81" s="87"/>
      <c r="L81" s="85"/>
    </row>
    <row r="82" s="27" customFormat="1" spans="3:12">
      <c r="C82" s="29"/>
      <c r="H82" s="29"/>
      <c r="I82" s="85"/>
      <c r="J82" s="87"/>
      <c r="K82" s="87"/>
      <c r="L82" s="85"/>
    </row>
    <row r="83" s="27" customFormat="1" spans="1:12">
      <c r="A83" s="39" t="s">
        <v>885</v>
      </c>
      <c r="B83" s="63" t="s">
        <v>316</v>
      </c>
      <c r="C83" s="64">
        <f t="shared" ref="C83:G83" si="0">C84</f>
        <v>1913376570</v>
      </c>
      <c r="D83" s="84">
        <f t="shared" si="0"/>
        <v>22300000</v>
      </c>
      <c r="E83" s="66"/>
      <c r="F83" s="66"/>
      <c r="G83" s="75">
        <f t="shared" si="0"/>
        <v>1935676570</v>
      </c>
      <c r="H83" s="64"/>
      <c r="I83" s="85"/>
      <c r="J83" s="87"/>
      <c r="K83" s="87"/>
      <c r="L83" s="106"/>
    </row>
    <row r="84" s="27" customFormat="1" spans="1:12">
      <c r="A84" s="39" t="s">
        <v>22</v>
      </c>
      <c r="B84" s="63" t="s">
        <v>886</v>
      </c>
      <c r="C84" s="64">
        <f>SUM(C85:C98)</f>
        <v>1913376570</v>
      </c>
      <c r="D84" s="84">
        <f>D85</f>
        <v>22300000</v>
      </c>
      <c r="E84" s="66"/>
      <c r="F84" s="66"/>
      <c r="G84" s="75">
        <f>SUM(G85:G98)</f>
        <v>1935676570</v>
      </c>
      <c r="H84" s="64"/>
      <c r="I84" s="85"/>
      <c r="J84" s="87"/>
      <c r="K84" s="87"/>
      <c r="L84" s="106"/>
    </row>
    <row r="85" s="27" customFormat="1" spans="1:12">
      <c r="A85" s="39"/>
      <c r="B85" s="55" t="s">
        <v>887</v>
      </c>
      <c r="C85" s="62">
        <v>70000000</v>
      </c>
      <c r="D85" s="97">
        <v>22300000</v>
      </c>
      <c r="E85" s="66"/>
      <c r="F85" s="66"/>
      <c r="G85" s="98">
        <f>D85+C85</f>
        <v>92300000</v>
      </c>
      <c r="H85" s="64"/>
      <c r="I85" s="85"/>
      <c r="J85" s="87"/>
      <c r="K85" s="87"/>
      <c r="L85" s="106"/>
    </row>
    <row r="86" s="27" customFormat="1" spans="1:12">
      <c r="A86" s="39"/>
      <c r="B86" s="55" t="s">
        <v>887</v>
      </c>
      <c r="C86" s="98">
        <v>70000000</v>
      </c>
      <c r="D86" s="99"/>
      <c r="E86" s="66"/>
      <c r="F86" s="66"/>
      <c r="G86" s="98">
        <f t="shared" ref="G86:G98" si="1">C86</f>
        <v>70000000</v>
      </c>
      <c r="H86" s="64"/>
      <c r="I86" s="85"/>
      <c r="J86" s="87"/>
      <c r="K86" s="87"/>
      <c r="L86" s="106"/>
    </row>
    <row r="87" s="27" customFormat="1" spans="1:12">
      <c r="A87" s="39"/>
      <c r="B87" s="55" t="s">
        <v>887</v>
      </c>
      <c r="C87" s="98">
        <v>120000000</v>
      </c>
      <c r="D87" s="99"/>
      <c r="E87" s="66"/>
      <c r="F87" s="66"/>
      <c r="G87" s="62">
        <v>120000000</v>
      </c>
      <c r="H87" s="64"/>
      <c r="I87" s="85"/>
      <c r="J87" s="87"/>
      <c r="K87" s="87"/>
      <c r="L87" s="106"/>
    </row>
    <row r="88" s="27" customFormat="1" spans="1:12">
      <c r="A88" s="39"/>
      <c r="B88" s="55" t="s">
        <v>888</v>
      </c>
      <c r="C88" s="98">
        <v>139000000</v>
      </c>
      <c r="D88" s="99"/>
      <c r="E88" s="66"/>
      <c r="F88" s="66"/>
      <c r="G88" s="98">
        <v>139000000</v>
      </c>
      <c r="H88" s="64"/>
      <c r="I88" s="85"/>
      <c r="J88" s="87"/>
      <c r="K88" s="87"/>
      <c r="L88" s="106"/>
    </row>
    <row r="89" s="27" customFormat="1" spans="1:12">
      <c r="A89" s="39"/>
      <c r="B89" s="55" t="s">
        <v>889</v>
      </c>
      <c r="C89" s="98">
        <v>189478900</v>
      </c>
      <c r="D89" s="99"/>
      <c r="E89" s="66"/>
      <c r="F89" s="66"/>
      <c r="G89" s="98">
        <f t="shared" si="1"/>
        <v>189478900</v>
      </c>
      <c r="H89" s="64"/>
      <c r="I89" s="85"/>
      <c r="J89" s="87"/>
      <c r="K89" s="87"/>
      <c r="L89" s="106"/>
    </row>
    <row r="90" s="27" customFormat="1" spans="1:12">
      <c r="A90" s="39"/>
      <c r="B90" s="55" t="s">
        <v>889</v>
      </c>
      <c r="C90" s="98">
        <v>180000000</v>
      </c>
      <c r="D90" s="99"/>
      <c r="E90" s="66"/>
      <c r="F90" s="66"/>
      <c r="G90" s="98">
        <f t="shared" si="1"/>
        <v>180000000</v>
      </c>
      <c r="H90" s="64"/>
      <c r="I90" s="85"/>
      <c r="J90" s="87"/>
      <c r="K90" s="87"/>
      <c r="L90" s="106"/>
    </row>
    <row r="91" s="27" customFormat="1" spans="1:12">
      <c r="A91" s="39"/>
      <c r="B91" s="27" t="s">
        <v>890</v>
      </c>
      <c r="C91" s="29">
        <v>350000000</v>
      </c>
      <c r="G91" s="100">
        <f t="shared" si="1"/>
        <v>350000000</v>
      </c>
      <c r="H91" s="64"/>
      <c r="I91" s="85"/>
      <c r="J91" s="87"/>
      <c r="K91" s="87"/>
      <c r="L91" s="106"/>
    </row>
    <row r="92" s="27" customFormat="1" spans="1:12">
      <c r="A92" s="39"/>
      <c r="B92" s="55" t="s">
        <v>891</v>
      </c>
      <c r="C92" s="98">
        <v>40000000</v>
      </c>
      <c r="D92" s="99"/>
      <c r="E92" s="66"/>
      <c r="F92" s="66"/>
      <c r="G92" s="98">
        <f t="shared" si="1"/>
        <v>40000000</v>
      </c>
      <c r="H92" s="64"/>
      <c r="I92" s="85"/>
      <c r="J92" s="87"/>
      <c r="K92" s="87"/>
      <c r="L92" s="106"/>
    </row>
    <row r="93" s="27" customFormat="1" spans="1:12">
      <c r="A93" s="39"/>
      <c r="B93" s="55" t="s">
        <v>892</v>
      </c>
      <c r="C93" s="98">
        <v>54000000</v>
      </c>
      <c r="D93" s="99"/>
      <c r="E93" s="66"/>
      <c r="F93" s="66"/>
      <c r="G93" s="98">
        <f t="shared" si="1"/>
        <v>54000000</v>
      </c>
      <c r="H93" s="64"/>
      <c r="I93" s="85"/>
      <c r="J93" s="87"/>
      <c r="K93" s="87"/>
      <c r="L93" s="106"/>
    </row>
    <row r="94" s="27" customFormat="1" spans="1:12">
      <c r="A94" s="39"/>
      <c r="B94" s="55" t="s">
        <v>893</v>
      </c>
      <c r="C94" s="98">
        <v>54000000</v>
      </c>
      <c r="D94" s="99"/>
      <c r="E94" s="66"/>
      <c r="F94" s="66"/>
      <c r="G94" s="98">
        <f t="shared" si="1"/>
        <v>54000000</v>
      </c>
      <c r="H94" s="64"/>
      <c r="I94" s="85"/>
      <c r="J94" s="87"/>
      <c r="K94" s="87"/>
      <c r="L94" s="106"/>
    </row>
    <row r="95" s="27" customFormat="1" spans="1:12">
      <c r="A95" s="39"/>
      <c r="B95" s="55" t="s">
        <v>894</v>
      </c>
      <c r="C95" s="98">
        <v>63000000</v>
      </c>
      <c r="D95" s="99"/>
      <c r="E95" s="66"/>
      <c r="F95" s="66"/>
      <c r="G95" s="98">
        <f t="shared" si="1"/>
        <v>63000000</v>
      </c>
      <c r="H95" s="64"/>
      <c r="I95" s="85"/>
      <c r="J95" s="87"/>
      <c r="K95" s="87"/>
      <c r="L95" s="106"/>
    </row>
    <row r="96" s="27" customFormat="1" spans="1:12">
      <c r="A96" s="70"/>
      <c r="B96" s="59" t="s">
        <v>896</v>
      </c>
      <c r="C96" s="62">
        <v>100000000</v>
      </c>
      <c r="D96" s="82"/>
      <c r="E96" s="59"/>
      <c r="F96" s="59"/>
      <c r="G96" s="62">
        <f t="shared" si="1"/>
        <v>100000000</v>
      </c>
      <c r="H96" s="62"/>
      <c r="I96" s="85"/>
      <c r="J96" s="87"/>
      <c r="K96" s="87"/>
      <c r="L96" s="107"/>
    </row>
    <row r="97" s="27" customFormat="1" spans="1:12">
      <c r="A97" s="70"/>
      <c r="B97" s="59" t="s">
        <v>898</v>
      </c>
      <c r="C97" s="62">
        <v>445691670</v>
      </c>
      <c r="D97" s="62"/>
      <c r="E97" s="59"/>
      <c r="F97" s="59"/>
      <c r="G97" s="62">
        <f t="shared" si="1"/>
        <v>445691670</v>
      </c>
      <c r="H97" s="62"/>
      <c r="I97" s="85"/>
      <c r="J97" s="87"/>
      <c r="K97" s="87"/>
      <c r="L97" s="107"/>
    </row>
    <row r="98" s="27" customFormat="1" spans="1:12">
      <c r="A98" s="70"/>
      <c r="B98" s="59" t="s">
        <v>900</v>
      </c>
      <c r="C98" s="62">
        <v>38206000</v>
      </c>
      <c r="D98" s="62"/>
      <c r="E98" s="59"/>
      <c r="F98" s="59"/>
      <c r="G98" s="62">
        <f t="shared" si="1"/>
        <v>38206000</v>
      </c>
      <c r="H98" s="62"/>
      <c r="I98" s="85"/>
      <c r="J98" s="87"/>
      <c r="K98" s="87"/>
      <c r="L98" s="107"/>
    </row>
    <row r="99" s="27" customFormat="1" spans="1:12">
      <c r="A99" s="39" t="s">
        <v>902</v>
      </c>
      <c r="B99" s="66" t="s">
        <v>903</v>
      </c>
      <c r="C99" s="64">
        <f>C100</f>
        <v>5983373135</v>
      </c>
      <c r="D99" s="101">
        <f>D100</f>
        <v>666141000</v>
      </c>
      <c r="E99" s="66"/>
      <c r="F99" s="66"/>
      <c r="G99" s="75">
        <f>G100+G138</f>
        <v>7794571135</v>
      </c>
      <c r="H99" s="64"/>
      <c r="I99" s="85"/>
      <c r="J99" s="108"/>
      <c r="K99" s="87"/>
      <c r="L99" s="109"/>
    </row>
    <row r="100" s="27" customFormat="1" spans="1:12">
      <c r="A100" s="39" t="s">
        <v>22</v>
      </c>
      <c r="B100" s="66" t="s">
        <v>904</v>
      </c>
      <c r="C100" s="64">
        <f>5983373135</f>
        <v>5983373135</v>
      </c>
      <c r="D100" s="101">
        <f>D101+D105+D113+D123</f>
        <v>666141000</v>
      </c>
      <c r="E100" s="66"/>
      <c r="F100" s="66"/>
      <c r="G100" s="75">
        <f>SUM(G101:G134)</f>
        <v>6973794035</v>
      </c>
      <c r="H100" s="64"/>
      <c r="I100" s="85"/>
      <c r="J100" s="108"/>
      <c r="K100" s="87"/>
      <c r="L100" s="109"/>
    </row>
    <row r="101" s="27" customFormat="1" spans="1:12">
      <c r="A101" s="39"/>
      <c r="B101" s="102" t="s">
        <v>994</v>
      </c>
      <c r="C101" s="103">
        <v>424447410</v>
      </c>
      <c r="D101" s="82">
        <f>212585000+186065000</f>
        <v>398650000</v>
      </c>
      <c r="E101" s="59"/>
      <c r="F101" s="59"/>
      <c r="G101" s="103">
        <f>D101+C101</f>
        <v>823097410</v>
      </c>
      <c r="H101" s="64"/>
      <c r="I101" s="85"/>
      <c r="J101" s="88"/>
      <c r="K101" s="87"/>
      <c r="L101" s="109"/>
    </row>
    <row r="102" s="27" customFormat="1" spans="1:12">
      <c r="A102" s="39"/>
      <c r="B102" s="102" t="s">
        <v>907</v>
      </c>
      <c r="C102" s="104">
        <v>177144656</v>
      </c>
      <c r="D102" s="82"/>
      <c r="E102" s="66"/>
      <c r="F102" s="66"/>
      <c r="G102" s="104">
        <v>177144656</v>
      </c>
      <c r="H102" s="64"/>
      <c r="I102" s="85"/>
      <c r="J102" s="87"/>
      <c r="K102" s="87"/>
      <c r="L102" s="109"/>
    </row>
    <row r="103" s="27" customFormat="1" spans="1:12">
      <c r="A103" s="39"/>
      <c r="B103" s="102" t="s">
        <v>908</v>
      </c>
      <c r="C103" s="104">
        <v>52660000</v>
      </c>
      <c r="D103" s="82"/>
      <c r="E103" s="59"/>
      <c r="F103" s="59"/>
      <c r="G103" s="104">
        <v>52660000</v>
      </c>
      <c r="H103" s="64"/>
      <c r="I103" s="85"/>
      <c r="J103" s="87"/>
      <c r="K103" s="87"/>
      <c r="L103" s="109"/>
    </row>
    <row r="104" s="27" customFormat="1" spans="1:12">
      <c r="A104" s="39"/>
      <c r="B104" s="102" t="s">
        <v>910</v>
      </c>
      <c r="C104" s="104">
        <v>58335000</v>
      </c>
      <c r="D104" s="82"/>
      <c r="E104" s="66"/>
      <c r="F104" s="66"/>
      <c r="G104" s="104">
        <v>58335000</v>
      </c>
      <c r="H104" s="64"/>
      <c r="I104" s="85"/>
      <c r="J104" s="87"/>
      <c r="K104" s="87"/>
      <c r="L104" s="109"/>
    </row>
    <row r="105" s="27" customFormat="1" spans="1:12">
      <c r="A105" s="39"/>
      <c r="B105" s="102" t="s">
        <v>995</v>
      </c>
      <c r="C105" s="104">
        <v>167146400</v>
      </c>
      <c r="D105" s="82">
        <v>135586000</v>
      </c>
      <c r="E105" s="66"/>
      <c r="F105" s="66"/>
      <c r="G105" s="104">
        <v>318776319</v>
      </c>
      <c r="H105" s="64"/>
      <c r="I105" s="85"/>
      <c r="J105" s="87"/>
      <c r="K105" s="87"/>
      <c r="L105" s="109"/>
    </row>
    <row r="106" s="27" customFormat="1" spans="1:12">
      <c r="A106" s="39"/>
      <c r="B106" s="102" t="s">
        <v>911</v>
      </c>
      <c r="C106" s="104">
        <v>800255150</v>
      </c>
      <c r="D106" s="82"/>
      <c r="E106" s="66"/>
      <c r="F106" s="66"/>
      <c r="G106" s="104">
        <v>800255150</v>
      </c>
      <c r="H106" s="64"/>
      <c r="I106" s="85"/>
      <c r="J106" s="87"/>
      <c r="K106" s="87"/>
      <c r="L106" s="109"/>
    </row>
    <row r="107" s="27" customFormat="1" spans="1:12">
      <c r="A107" s="39"/>
      <c r="B107" s="102" t="s">
        <v>996</v>
      </c>
      <c r="C107" s="104">
        <v>47000000</v>
      </c>
      <c r="D107" s="82"/>
      <c r="E107" s="66"/>
      <c r="F107" s="66"/>
      <c r="G107" s="104">
        <v>47000000</v>
      </c>
      <c r="H107" s="64"/>
      <c r="I107" s="85"/>
      <c r="J107" s="87"/>
      <c r="K107" s="87"/>
      <c r="L107" s="109"/>
    </row>
    <row r="108" s="27" customFormat="1" spans="1:12">
      <c r="A108" s="39"/>
      <c r="B108" s="102" t="s">
        <v>997</v>
      </c>
      <c r="C108" s="104">
        <v>297271500</v>
      </c>
      <c r="D108" s="82">
        <f>G108-C108</f>
        <v>0</v>
      </c>
      <c r="E108" s="66"/>
      <c r="F108" s="66"/>
      <c r="G108" s="104">
        <v>297271500</v>
      </c>
      <c r="H108" s="64"/>
      <c r="I108" s="85"/>
      <c r="J108" s="87"/>
      <c r="K108" s="87"/>
      <c r="L108" s="109"/>
    </row>
    <row r="109" s="27" customFormat="1" spans="1:12">
      <c r="A109" s="39"/>
      <c r="B109" s="102" t="s">
        <v>998</v>
      </c>
      <c r="C109" s="104">
        <v>70000000</v>
      </c>
      <c r="D109" s="105"/>
      <c r="E109" s="66"/>
      <c r="F109" s="66"/>
      <c r="G109" s="104">
        <v>70000000</v>
      </c>
      <c r="H109" s="64"/>
      <c r="I109" s="85"/>
      <c r="J109" s="110"/>
      <c r="K109" s="87"/>
      <c r="L109" s="109"/>
    </row>
    <row r="110" s="27" customFormat="1" spans="1:12">
      <c r="A110" s="39"/>
      <c r="B110" s="102" t="s">
        <v>999</v>
      </c>
      <c r="C110" s="104">
        <v>60000000</v>
      </c>
      <c r="D110" s="82"/>
      <c r="E110" s="66"/>
      <c r="F110" s="66"/>
      <c r="G110" s="104">
        <v>60000000</v>
      </c>
      <c r="H110" s="64"/>
      <c r="I110" s="85"/>
      <c r="J110" s="87"/>
      <c r="K110" s="87"/>
      <c r="L110" s="109"/>
    </row>
    <row r="111" s="27" customFormat="1" spans="1:12">
      <c r="A111" s="39"/>
      <c r="B111" s="102" t="s">
        <v>1000</v>
      </c>
      <c r="C111" s="104">
        <v>100000000</v>
      </c>
      <c r="D111" s="82"/>
      <c r="E111" s="66"/>
      <c r="F111" s="66"/>
      <c r="G111" s="104">
        <v>100000000</v>
      </c>
      <c r="H111" s="64"/>
      <c r="I111" s="85"/>
      <c r="J111" s="87"/>
      <c r="K111" s="87"/>
      <c r="L111" s="109"/>
    </row>
    <row r="112" s="27" customFormat="1" spans="1:12">
      <c r="A112" s="39"/>
      <c r="B112" s="102" t="s">
        <v>1001</v>
      </c>
      <c r="C112" s="104">
        <v>36480500</v>
      </c>
      <c r="D112" s="82"/>
      <c r="E112" s="66"/>
      <c r="F112" s="66"/>
      <c r="G112" s="104">
        <v>36480500</v>
      </c>
      <c r="H112" s="64"/>
      <c r="I112" s="85"/>
      <c r="J112" s="87"/>
      <c r="K112" s="87"/>
      <c r="L112" s="109"/>
    </row>
    <row r="113" s="27" customFormat="1" spans="1:12">
      <c r="A113" s="39"/>
      <c r="B113" s="102" t="s">
        <v>1002</v>
      </c>
      <c r="C113" s="104">
        <v>107000000</v>
      </c>
      <c r="D113" s="82">
        <v>39700000</v>
      </c>
      <c r="E113" s="66"/>
      <c r="F113" s="66"/>
      <c r="G113" s="104">
        <f>D113+C113</f>
        <v>146700000</v>
      </c>
      <c r="H113" s="64"/>
      <c r="I113" s="93"/>
      <c r="J113" s="88"/>
      <c r="K113" s="87"/>
      <c r="L113" s="109"/>
    </row>
    <row r="114" s="27" customFormat="1" spans="1:12">
      <c r="A114" s="39"/>
      <c r="B114" s="102" t="s">
        <v>916</v>
      </c>
      <c r="C114" s="104">
        <v>350000000</v>
      </c>
      <c r="D114" s="82"/>
      <c r="E114" s="66"/>
      <c r="F114" s="66"/>
      <c r="G114" s="104">
        <v>350000000</v>
      </c>
      <c r="H114" s="64"/>
      <c r="I114" s="93"/>
      <c r="J114" s="88"/>
      <c r="K114" s="87"/>
      <c r="L114" s="109"/>
    </row>
    <row r="115" s="27" customFormat="1" spans="1:12">
      <c r="A115" s="39"/>
      <c r="B115" s="102" t="s">
        <v>1003</v>
      </c>
      <c r="C115" s="104">
        <v>52000000</v>
      </c>
      <c r="D115" s="82"/>
      <c r="E115" s="66"/>
      <c r="F115" s="66"/>
      <c r="G115" s="104">
        <v>52000000</v>
      </c>
      <c r="H115" s="64"/>
      <c r="I115" s="93"/>
      <c r="J115" s="87"/>
      <c r="K115" s="87"/>
      <c r="L115" s="109"/>
    </row>
    <row r="116" s="27" customFormat="1" spans="1:12">
      <c r="A116" s="39"/>
      <c r="B116" s="102" t="s">
        <v>1004</v>
      </c>
      <c r="C116" s="104">
        <v>47000000</v>
      </c>
      <c r="D116" s="82"/>
      <c r="E116" s="66"/>
      <c r="F116" s="66"/>
      <c r="G116" s="104">
        <v>47000000</v>
      </c>
      <c r="H116" s="64"/>
      <c r="I116" s="111"/>
      <c r="J116" s="87"/>
      <c r="K116" s="87"/>
      <c r="L116" s="109"/>
    </row>
    <row r="117" s="27" customFormat="1" spans="1:12">
      <c r="A117" s="39"/>
      <c r="B117" s="102" t="s">
        <v>1005</v>
      </c>
      <c r="C117" s="104">
        <v>250000000</v>
      </c>
      <c r="D117" s="82"/>
      <c r="E117" s="66"/>
      <c r="F117" s="66"/>
      <c r="G117" s="104">
        <v>250000000</v>
      </c>
      <c r="H117" s="64"/>
      <c r="I117" s="93"/>
      <c r="J117" s="87"/>
      <c r="K117" s="87"/>
      <c r="L117" s="109"/>
    </row>
    <row r="118" s="27" customFormat="1" spans="1:12">
      <c r="A118" s="39"/>
      <c r="B118" s="102" t="s">
        <v>1006</v>
      </c>
      <c r="C118" s="104">
        <v>250000000</v>
      </c>
      <c r="D118" s="82"/>
      <c r="E118" s="59"/>
      <c r="F118" s="59"/>
      <c r="G118" s="104">
        <v>250000000</v>
      </c>
      <c r="H118" s="64"/>
      <c r="I118" s="93"/>
      <c r="J118" s="87"/>
      <c r="K118" s="87"/>
      <c r="L118" s="109"/>
    </row>
    <row r="119" s="27" customFormat="1" spans="1:12">
      <c r="A119" s="39"/>
      <c r="B119" s="102" t="s">
        <v>1007</v>
      </c>
      <c r="C119" s="104">
        <v>68000000</v>
      </c>
      <c r="D119" s="82"/>
      <c r="E119" s="66"/>
      <c r="F119" s="66"/>
      <c r="G119" s="104">
        <v>68000000</v>
      </c>
      <c r="H119" s="64"/>
      <c r="I119" s="93"/>
      <c r="J119" s="87"/>
      <c r="K119" s="87"/>
      <c r="L119" s="109"/>
    </row>
    <row r="120" s="27" customFormat="1" spans="1:12">
      <c r="A120" s="39"/>
      <c r="B120" s="102" t="s">
        <v>904</v>
      </c>
      <c r="C120" s="104">
        <v>81630000</v>
      </c>
      <c r="D120" s="82"/>
      <c r="E120" s="59"/>
      <c r="F120" s="59"/>
      <c r="G120" s="104">
        <v>81630000</v>
      </c>
      <c r="H120" s="64"/>
      <c r="I120" s="93"/>
      <c r="J120" s="87"/>
      <c r="K120" s="87"/>
      <c r="L120" s="109"/>
    </row>
    <row r="121" s="27" customFormat="1" spans="1:12">
      <c r="A121" s="39"/>
      <c r="B121" s="102" t="s">
        <v>1008</v>
      </c>
      <c r="C121" s="104">
        <v>545169500</v>
      </c>
      <c r="D121" s="82"/>
      <c r="E121" s="59"/>
      <c r="F121" s="59"/>
      <c r="G121" s="104">
        <v>545169500</v>
      </c>
      <c r="H121" s="64"/>
      <c r="I121" s="93"/>
      <c r="J121" s="88"/>
      <c r="K121" s="87"/>
      <c r="L121" s="109"/>
    </row>
    <row r="122" s="27" customFormat="1" spans="1:12">
      <c r="A122" s="39"/>
      <c r="B122" s="102" t="s">
        <v>1009</v>
      </c>
      <c r="C122" s="104">
        <v>114488000</v>
      </c>
      <c r="D122" s="82"/>
      <c r="E122" s="59"/>
      <c r="F122" s="59"/>
      <c r="G122" s="104">
        <v>114488000</v>
      </c>
      <c r="H122" s="64"/>
      <c r="I122" s="93"/>
      <c r="J122" s="88"/>
      <c r="K122" s="87"/>
      <c r="L122" s="109"/>
    </row>
    <row r="123" s="27" customFormat="1" spans="1:12">
      <c r="A123" s="39"/>
      <c r="B123" s="102" t="s">
        <v>941</v>
      </c>
      <c r="C123" s="104">
        <v>38649500</v>
      </c>
      <c r="D123" s="82">
        <v>92205000</v>
      </c>
      <c r="E123" s="59"/>
      <c r="F123" s="59"/>
      <c r="G123" s="104">
        <f>D123+C123</f>
        <v>130854500</v>
      </c>
      <c r="H123" s="64"/>
      <c r="I123" s="93"/>
      <c r="J123" s="88"/>
      <c r="K123" s="87"/>
      <c r="L123" s="109"/>
    </row>
    <row r="124" s="27" customFormat="1" spans="1:12">
      <c r="A124" s="39"/>
      <c r="B124" s="102" t="s">
        <v>942</v>
      </c>
      <c r="C124" s="104">
        <v>409789000</v>
      </c>
      <c r="D124" s="82"/>
      <c r="E124" s="59"/>
      <c r="F124" s="59"/>
      <c r="G124" s="104">
        <v>409789000</v>
      </c>
      <c r="H124" s="64"/>
      <c r="I124" s="93"/>
      <c r="J124" s="87"/>
      <c r="K124" s="87"/>
      <c r="L124" s="109"/>
    </row>
    <row r="125" s="27" customFormat="1" spans="1:12">
      <c r="A125" s="39"/>
      <c r="B125" s="102" t="s">
        <v>1010</v>
      </c>
      <c r="C125" s="104">
        <v>8503000</v>
      </c>
      <c r="D125" s="82"/>
      <c r="E125" s="59"/>
      <c r="F125" s="59"/>
      <c r="G125" s="104">
        <v>8503000</v>
      </c>
      <c r="H125" s="64"/>
      <c r="I125" s="93"/>
      <c r="J125" s="87"/>
      <c r="K125" s="87"/>
      <c r="L125" s="109"/>
    </row>
    <row r="126" s="27" customFormat="1" spans="1:12">
      <c r="A126" s="39"/>
      <c r="B126" s="102" t="s">
        <v>1011</v>
      </c>
      <c r="C126" s="104">
        <v>36256500</v>
      </c>
      <c r="D126" s="82"/>
      <c r="E126" s="59"/>
      <c r="F126" s="59"/>
      <c r="G126" s="104">
        <v>36256500</v>
      </c>
      <c r="H126" s="64"/>
      <c r="I126" s="93"/>
      <c r="J126" s="87"/>
      <c r="K126" s="87"/>
      <c r="L126" s="109"/>
    </row>
    <row r="127" s="27" customFormat="1" spans="1:12">
      <c r="A127" s="39"/>
      <c r="B127" s="102" t="s">
        <v>1012</v>
      </c>
      <c r="C127" s="104">
        <v>184546500</v>
      </c>
      <c r="D127" s="82"/>
      <c r="E127" s="59"/>
      <c r="F127" s="59"/>
      <c r="G127" s="104">
        <v>184546500</v>
      </c>
      <c r="H127" s="64"/>
      <c r="I127" s="93"/>
      <c r="J127" s="87"/>
      <c r="K127" s="87"/>
      <c r="L127" s="109"/>
    </row>
    <row r="128" s="27" customFormat="1" spans="1:12">
      <c r="A128" s="39"/>
      <c r="B128" s="102" t="s">
        <v>935</v>
      </c>
      <c r="C128" s="104">
        <v>590583300</v>
      </c>
      <c r="D128" s="100"/>
      <c r="E128" s="59"/>
      <c r="F128" s="59"/>
      <c r="G128" s="104">
        <v>914863200</v>
      </c>
      <c r="H128" s="64"/>
      <c r="I128" s="93"/>
      <c r="J128" s="112"/>
      <c r="K128" s="87"/>
      <c r="L128" s="109"/>
    </row>
    <row r="129" s="27" customFormat="1" spans="1:12">
      <c r="A129" s="39"/>
      <c r="B129" s="102" t="s">
        <v>1013</v>
      </c>
      <c r="C129" s="104">
        <v>272389300</v>
      </c>
      <c r="D129" s="82"/>
      <c r="E129" s="59"/>
      <c r="F129" s="59"/>
      <c r="G129" s="104">
        <v>272389300</v>
      </c>
      <c r="H129" s="64"/>
      <c r="I129" s="93"/>
      <c r="J129" s="87"/>
      <c r="K129" s="87"/>
      <c r="L129" s="107"/>
    </row>
    <row r="130" s="27" customFormat="1" spans="1:12">
      <c r="A130" s="39"/>
      <c r="B130" s="102" t="s">
        <v>1014</v>
      </c>
      <c r="C130" s="104">
        <v>60305000</v>
      </c>
      <c r="D130" s="82"/>
      <c r="E130" s="59"/>
      <c r="F130" s="59"/>
      <c r="G130" s="104">
        <v>60305000</v>
      </c>
      <c r="H130" s="64"/>
      <c r="I130" s="93"/>
      <c r="J130" s="87"/>
      <c r="K130" s="87"/>
      <c r="L130" s="139"/>
    </row>
    <row r="131" s="27" customFormat="1" spans="1:12">
      <c r="A131" s="39"/>
      <c r="B131" s="102" t="s">
        <v>1015</v>
      </c>
      <c r="C131" s="104">
        <v>48310800</v>
      </c>
      <c r="D131" s="82"/>
      <c r="E131" s="59"/>
      <c r="F131" s="59"/>
      <c r="G131" s="104">
        <v>48310800</v>
      </c>
      <c r="H131" s="64"/>
      <c r="I131" s="93"/>
      <c r="J131" s="87"/>
      <c r="K131" s="87"/>
      <c r="L131" s="140"/>
    </row>
    <row r="132" s="27" customFormat="1" spans="1:12">
      <c r="A132" s="39"/>
      <c r="B132" s="102" t="s">
        <v>949</v>
      </c>
      <c r="C132" s="104">
        <v>75000000</v>
      </c>
      <c r="D132" s="82"/>
      <c r="E132" s="59"/>
      <c r="F132" s="59"/>
      <c r="G132" s="104">
        <v>75000000</v>
      </c>
      <c r="H132" s="64"/>
      <c r="I132" s="93"/>
      <c r="J132" s="87"/>
      <c r="K132" s="87"/>
      <c r="L132" s="140"/>
    </row>
    <row r="133" s="27" customFormat="1" spans="1:12">
      <c r="A133" s="39"/>
      <c r="B133" s="102" t="s">
        <v>950</v>
      </c>
      <c r="C133" s="104">
        <v>50000000</v>
      </c>
      <c r="D133" s="82"/>
      <c r="E133" s="59"/>
      <c r="F133" s="59"/>
      <c r="G133" s="104">
        <v>50000000</v>
      </c>
      <c r="H133" s="64"/>
      <c r="I133" s="93"/>
      <c r="J133" s="87"/>
      <c r="K133" s="87"/>
      <c r="L133" s="140"/>
    </row>
    <row r="134" s="27" customFormat="1" spans="1:12">
      <c r="A134" s="39"/>
      <c r="B134" s="102" t="s">
        <v>951</v>
      </c>
      <c r="C134" s="103">
        <v>36968200</v>
      </c>
      <c r="D134" s="82"/>
      <c r="E134" s="59"/>
      <c r="F134" s="59"/>
      <c r="G134" s="103">
        <v>36968200</v>
      </c>
      <c r="H134" s="64"/>
      <c r="I134" s="93"/>
      <c r="J134" s="87"/>
      <c r="K134" s="87"/>
      <c r="L134" s="140"/>
    </row>
    <row r="135" s="27" customFormat="1" spans="1:12">
      <c r="A135" s="39"/>
      <c r="B135" s="113" t="s">
        <v>952</v>
      </c>
      <c r="C135" s="114">
        <v>15602485</v>
      </c>
      <c r="D135" s="101"/>
      <c r="E135" s="66"/>
      <c r="F135" s="66"/>
      <c r="G135" s="75">
        <v>15602485</v>
      </c>
      <c r="H135" s="64"/>
      <c r="I135" s="93"/>
      <c r="J135" s="87"/>
      <c r="K135" s="87"/>
      <c r="L135" s="140"/>
    </row>
    <row r="136" s="27" customFormat="1" spans="1:12">
      <c r="A136" s="39"/>
      <c r="B136" s="55" t="s">
        <v>953</v>
      </c>
      <c r="C136" s="115">
        <v>14602485</v>
      </c>
      <c r="D136" s="82"/>
      <c r="E136" s="59"/>
      <c r="F136" s="59"/>
      <c r="G136" s="79">
        <v>14602485</v>
      </c>
      <c r="H136" s="62"/>
      <c r="I136" s="93"/>
      <c r="J136" s="87"/>
      <c r="K136" s="87"/>
      <c r="L136" s="140"/>
    </row>
    <row r="137" s="27" customFormat="1" spans="1:12">
      <c r="A137" s="39">
        <v>2</v>
      </c>
      <c r="B137" s="55" t="s">
        <v>955</v>
      </c>
      <c r="C137" s="115">
        <v>1000000</v>
      </c>
      <c r="D137" s="88"/>
      <c r="E137" s="59"/>
      <c r="F137" s="59"/>
      <c r="G137" s="79">
        <v>1000000</v>
      </c>
      <c r="H137" s="62"/>
      <c r="I137" s="93"/>
      <c r="J137" s="87"/>
      <c r="K137" s="87"/>
      <c r="L137" s="140"/>
    </row>
    <row r="138" s="27" customFormat="1" spans="1:12">
      <c r="A138" s="39" t="s">
        <v>957</v>
      </c>
      <c r="B138" s="66" t="s">
        <v>958</v>
      </c>
      <c r="C138" s="64">
        <v>820777100</v>
      </c>
      <c r="D138" s="116"/>
      <c r="E138" s="117"/>
      <c r="F138" s="66"/>
      <c r="G138" s="75">
        <f>G139+G145</f>
        <v>820777100</v>
      </c>
      <c r="H138" s="64"/>
      <c r="I138" s="93"/>
      <c r="J138" s="87"/>
      <c r="K138" s="87"/>
      <c r="L138" s="140"/>
    </row>
    <row r="139" s="28" customFormat="1" spans="1:11">
      <c r="A139" s="118"/>
      <c r="B139" s="119" t="s">
        <v>958</v>
      </c>
      <c r="C139" s="68">
        <v>170777100</v>
      </c>
      <c r="D139" s="120"/>
      <c r="E139" s="120"/>
      <c r="F139" s="120"/>
      <c r="G139" s="121">
        <f>SUM(G140:G144)</f>
        <v>170777100</v>
      </c>
      <c r="H139" s="64"/>
      <c r="J139" s="91"/>
      <c r="K139" s="91"/>
    </row>
    <row r="140" s="27" customFormat="1" spans="1:12">
      <c r="A140" s="39"/>
      <c r="B140" s="102" t="s">
        <v>959</v>
      </c>
      <c r="C140" s="122">
        <v>7250000</v>
      </c>
      <c r="D140" s="82"/>
      <c r="E140" s="117"/>
      <c r="F140" s="66"/>
      <c r="G140" s="82">
        <v>7250000</v>
      </c>
      <c r="H140" s="64"/>
      <c r="I140" s="93"/>
      <c r="J140" s="87"/>
      <c r="K140" s="87"/>
      <c r="L140" s="140"/>
    </row>
    <row r="141" s="27" customFormat="1" spans="1:12">
      <c r="A141" s="39"/>
      <c r="B141" s="102" t="s">
        <v>960</v>
      </c>
      <c r="C141" s="122">
        <v>50000000</v>
      </c>
      <c r="D141" s="82"/>
      <c r="E141" s="117"/>
      <c r="F141" s="66"/>
      <c r="G141" s="82">
        <v>50000000</v>
      </c>
      <c r="H141" s="64"/>
      <c r="I141" s="93"/>
      <c r="J141" s="87"/>
      <c r="K141" s="87"/>
      <c r="L141" s="140"/>
    </row>
    <row r="142" s="27" customFormat="1" spans="1:12">
      <c r="A142" s="39"/>
      <c r="B142" s="102" t="s">
        <v>961</v>
      </c>
      <c r="C142" s="122">
        <v>1277100</v>
      </c>
      <c r="D142" s="82"/>
      <c r="E142" s="51"/>
      <c r="F142" s="66"/>
      <c r="G142" s="82">
        <v>1277100</v>
      </c>
      <c r="H142" s="64"/>
      <c r="I142" s="93"/>
      <c r="J142" s="108"/>
      <c r="K142" s="87"/>
      <c r="L142" s="140"/>
    </row>
    <row r="143" s="27" customFormat="1" spans="1:12">
      <c r="A143" s="39"/>
      <c r="B143" s="102" t="s">
        <v>962</v>
      </c>
      <c r="C143" s="122">
        <v>25000000</v>
      </c>
      <c r="D143" s="82"/>
      <c r="E143" s="117"/>
      <c r="F143" s="66"/>
      <c r="G143" s="82">
        <v>25000000</v>
      </c>
      <c r="H143" s="64"/>
      <c r="I143" s="93"/>
      <c r="J143" s="87"/>
      <c r="K143" s="87"/>
      <c r="L143" s="140"/>
    </row>
    <row r="144" s="27" customFormat="1" spans="1:12">
      <c r="A144" s="39"/>
      <c r="B144" s="102" t="s">
        <v>963</v>
      </c>
      <c r="C144" s="122">
        <v>87250000</v>
      </c>
      <c r="D144" s="82"/>
      <c r="E144" s="117"/>
      <c r="F144" s="66"/>
      <c r="G144" s="82">
        <v>87250000</v>
      </c>
      <c r="H144" s="64"/>
      <c r="I144" s="93"/>
      <c r="J144" s="87"/>
      <c r="K144" s="87"/>
      <c r="L144" s="140"/>
    </row>
    <row r="145" s="27" customFormat="1" spans="1:12">
      <c r="A145" s="39">
        <v>1</v>
      </c>
      <c r="B145" s="113" t="s">
        <v>964</v>
      </c>
      <c r="C145" s="114">
        <v>650000000</v>
      </c>
      <c r="D145" s="123"/>
      <c r="E145" s="124"/>
      <c r="F145" s="124"/>
      <c r="G145" s="125">
        <v>650000000</v>
      </c>
      <c r="H145" s="114"/>
      <c r="I145" s="93"/>
      <c r="J145" s="87"/>
      <c r="K145" s="87"/>
      <c r="L145" s="140"/>
    </row>
    <row r="146" s="27" customFormat="1" spans="1:12">
      <c r="A146" s="126"/>
      <c r="B146" s="59" t="s">
        <v>965</v>
      </c>
      <c r="C146" s="62">
        <v>650000000</v>
      </c>
      <c r="D146" s="82"/>
      <c r="E146" s="127"/>
      <c r="F146" s="59"/>
      <c r="G146" s="72">
        <v>650000000</v>
      </c>
      <c r="H146" s="62"/>
      <c r="I146" s="93"/>
      <c r="J146" s="87"/>
      <c r="K146" s="87"/>
      <c r="L146" s="139"/>
    </row>
    <row r="147" s="27" customFormat="1" spans="1:12">
      <c r="A147" s="128" t="s">
        <v>754</v>
      </c>
      <c r="B147" s="129"/>
      <c r="C147" s="64">
        <v>9457504265</v>
      </c>
      <c r="D147" s="116">
        <f>D100+D83+D8</f>
        <v>688441000</v>
      </c>
      <c r="E147" s="130">
        <v>21000000</v>
      </c>
      <c r="F147" s="130">
        <v>0</v>
      </c>
      <c r="G147" s="75">
        <f>G99+G83+G9</f>
        <v>10231891265</v>
      </c>
      <c r="H147" s="62"/>
      <c r="I147" s="93"/>
      <c r="J147" s="112"/>
      <c r="K147" s="87"/>
      <c r="L147" s="139"/>
    </row>
    <row r="148" s="27" customFormat="1" spans="1:12">
      <c r="A148" s="131"/>
      <c r="B148" s="85"/>
      <c r="C148" s="29"/>
      <c r="D148" s="85"/>
      <c r="E148" s="85"/>
      <c r="F148" s="85"/>
      <c r="G148" s="85"/>
      <c r="H148" s="29"/>
      <c r="I148" s="88"/>
      <c r="J148" s="110"/>
      <c r="K148" s="87"/>
      <c r="L148" s="141"/>
    </row>
    <row r="149" s="27" customFormat="1" spans="1:12">
      <c r="A149" s="132"/>
      <c r="B149" s="85"/>
      <c r="C149" s="29"/>
      <c r="D149" s="85"/>
      <c r="E149" s="85"/>
      <c r="F149" s="133" t="s">
        <v>969</v>
      </c>
      <c r="G149" s="133"/>
      <c r="H149" s="133"/>
      <c r="I149" s="88"/>
      <c r="J149" s="108"/>
      <c r="K149" s="87"/>
      <c r="L149" s="141"/>
    </row>
    <row r="150" s="27" customFormat="1" spans="1:12">
      <c r="A150" s="132"/>
      <c r="B150" s="85"/>
      <c r="C150" s="29"/>
      <c r="D150" s="134"/>
      <c r="E150" s="135"/>
      <c r="F150" s="133" t="s">
        <v>1016</v>
      </c>
      <c r="G150" s="133"/>
      <c r="H150" s="133"/>
      <c r="I150" s="88"/>
      <c r="J150" s="87"/>
      <c r="K150" s="87"/>
      <c r="L150" s="139"/>
    </row>
    <row r="151" s="27" customFormat="1" spans="1:12">
      <c r="A151" s="132"/>
      <c r="B151" s="85"/>
      <c r="C151" s="29"/>
      <c r="D151" s="134"/>
      <c r="E151" s="85"/>
      <c r="F151" s="133"/>
      <c r="G151" s="133"/>
      <c r="H151" s="136"/>
      <c r="I151" s="88"/>
      <c r="J151" s="88"/>
      <c r="K151" s="87"/>
      <c r="L151" s="85"/>
    </row>
    <row r="152" s="27" customFormat="1" spans="1:12">
      <c r="A152" s="132"/>
      <c r="B152" s="85"/>
      <c r="C152" s="29"/>
      <c r="D152" s="135"/>
      <c r="E152" s="85"/>
      <c r="F152" s="137"/>
      <c r="G152" s="133"/>
      <c r="H152" s="136"/>
      <c r="I152" s="88"/>
      <c r="J152" s="88"/>
      <c r="K152" s="87"/>
      <c r="L152" s="85"/>
    </row>
    <row r="153" s="27" customFormat="1" spans="1:12">
      <c r="A153" s="132"/>
      <c r="B153" s="85"/>
      <c r="C153" s="29"/>
      <c r="D153" s="135"/>
      <c r="E153" s="85"/>
      <c r="F153" s="137"/>
      <c r="G153" s="133"/>
      <c r="H153" s="136"/>
      <c r="I153" s="88"/>
      <c r="J153" s="88"/>
      <c r="K153" s="87"/>
      <c r="L153" s="85"/>
    </row>
    <row r="154" s="27" customFormat="1" spans="1:12">
      <c r="A154" s="33"/>
      <c r="B154" s="85"/>
      <c r="C154" s="29"/>
      <c r="D154" s="135"/>
      <c r="E154" s="85"/>
      <c r="F154" s="138" t="s">
        <v>1017</v>
      </c>
      <c r="G154" s="138"/>
      <c r="H154" s="138"/>
      <c r="I154" s="88"/>
      <c r="J154" s="88"/>
      <c r="K154" s="87"/>
      <c r="L154" s="85"/>
    </row>
    <row r="155" s="27" customFormat="1" spans="1:12">
      <c r="A155" s="85"/>
      <c r="B155" s="85"/>
      <c r="C155" s="29"/>
      <c r="D155" s="135"/>
      <c r="E155" s="85"/>
      <c r="F155" s="85"/>
      <c r="G155" s="85"/>
      <c r="H155" s="29"/>
      <c r="I155" s="88"/>
      <c r="J155" s="88"/>
      <c r="K155" s="87"/>
      <c r="L155" s="85"/>
    </row>
    <row r="156" s="27" customFormat="1" spans="1:12">
      <c r="A156" s="85"/>
      <c r="B156" s="85"/>
      <c r="C156" s="29"/>
      <c r="D156" s="85"/>
      <c r="E156" s="85"/>
      <c r="F156" s="85"/>
      <c r="G156" s="85"/>
      <c r="H156" s="29"/>
      <c r="I156" s="88"/>
      <c r="J156" s="88"/>
      <c r="K156" s="87"/>
      <c r="L156" s="85"/>
    </row>
    <row r="157" s="27" customFormat="1" spans="1:12">
      <c r="A157" s="85"/>
      <c r="B157" s="85"/>
      <c r="C157" s="29"/>
      <c r="D157" s="85"/>
      <c r="E157" s="85"/>
      <c r="F157" s="85"/>
      <c r="G157" s="85"/>
      <c r="H157" s="29"/>
      <c r="I157" s="88"/>
      <c r="J157" s="88"/>
      <c r="K157" s="87"/>
      <c r="L157" s="85"/>
    </row>
    <row r="158" s="27" customFormat="1" spans="1:12">
      <c r="A158" s="85"/>
      <c r="B158" s="85"/>
      <c r="C158" s="29"/>
      <c r="D158" s="85"/>
      <c r="E158" s="85"/>
      <c r="F158" s="85"/>
      <c r="G158" s="85"/>
      <c r="H158" s="29"/>
      <c r="I158" s="88"/>
      <c r="J158" s="88"/>
      <c r="K158" s="87"/>
      <c r="L158" s="85"/>
    </row>
    <row r="159" s="27" customFormat="1" spans="1:12">
      <c r="A159" s="85"/>
      <c r="B159" s="85"/>
      <c r="C159" s="29"/>
      <c r="D159" s="85"/>
      <c r="E159" s="85"/>
      <c r="F159" s="85"/>
      <c r="G159" s="85"/>
      <c r="H159" s="29"/>
      <c r="I159" s="88"/>
      <c r="J159" s="88"/>
      <c r="K159" s="87"/>
      <c r="L159" s="85"/>
    </row>
    <row r="160" s="27" customFormat="1" spans="1:12">
      <c r="A160" s="85"/>
      <c r="B160" s="85"/>
      <c r="C160" s="29"/>
      <c r="D160" s="85"/>
      <c r="E160" s="85"/>
      <c r="F160" s="135"/>
      <c r="G160" s="85"/>
      <c r="H160" s="29"/>
      <c r="I160" s="88"/>
      <c r="J160" s="87"/>
      <c r="K160" s="87"/>
      <c r="L160" s="85"/>
    </row>
    <row r="161" s="27" customFormat="1" spans="1:12">
      <c r="A161" s="85"/>
      <c r="B161" s="85"/>
      <c r="C161" s="29"/>
      <c r="D161" s="85"/>
      <c r="E161" s="85"/>
      <c r="F161" s="85"/>
      <c r="G161" s="85"/>
      <c r="H161" s="29"/>
      <c r="I161" s="88"/>
      <c r="J161" s="87"/>
      <c r="K161" s="87"/>
      <c r="L161" s="85"/>
    </row>
    <row r="162" s="27" customFormat="1" spans="1:12">
      <c r="A162" s="85"/>
      <c r="B162" s="85"/>
      <c r="C162" s="29"/>
      <c r="D162" s="85"/>
      <c r="E162" s="85"/>
      <c r="F162" s="85"/>
      <c r="G162" s="85"/>
      <c r="H162" s="29"/>
      <c r="I162" s="88"/>
      <c r="J162" s="87"/>
      <c r="K162" s="87"/>
      <c r="L162" s="85"/>
    </row>
    <row r="163" s="27" customFormat="1" spans="1:12">
      <c r="A163" s="85"/>
      <c r="B163" s="85"/>
      <c r="C163" s="29"/>
      <c r="D163" s="85"/>
      <c r="E163" s="85"/>
      <c r="F163" s="85"/>
      <c r="G163" s="85"/>
      <c r="H163" s="29"/>
      <c r="I163" s="108"/>
      <c r="J163" s="87"/>
      <c r="K163" s="87"/>
      <c r="L163" s="85"/>
    </row>
    <row r="164" s="27" customFormat="1" spans="1:12">
      <c r="A164" s="85"/>
      <c r="B164" s="85"/>
      <c r="C164" s="29"/>
      <c r="D164" s="85"/>
      <c r="E164" s="85"/>
      <c r="F164" s="85"/>
      <c r="G164" s="85"/>
      <c r="H164" s="29"/>
      <c r="I164" s="88"/>
      <c r="J164" s="87"/>
      <c r="K164" s="87"/>
      <c r="L164" s="85"/>
    </row>
    <row r="165" s="27" customFormat="1" spans="1:12">
      <c r="A165" s="85"/>
      <c r="B165" s="85"/>
      <c r="C165" s="29"/>
      <c r="D165" s="85"/>
      <c r="E165" s="85"/>
      <c r="F165" s="85"/>
      <c r="G165" s="85"/>
      <c r="H165" s="29"/>
      <c r="I165" s="88"/>
      <c r="J165" s="87"/>
      <c r="K165" s="87"/>
      <c r="L165" s="85"/>
    </row>
  </sheetData>
  <mergeCells count="11">
    <mergeCell ref="A1:H1"/>
    <mergeCell ref="D3:F3"/>
    <mergeCell ref="A147:B147"/>
    <mergeCell ref="F149:H149"/>
    <mergeCell ref="F150:H150"/>
    <mergeCell ref="F154:H154"/>
    <mergeCell ref="A3:A4"/>
    <mergeCell ref="B3:B4"/>
    <mergeCell ref="C3:C4"/>
    <mergeCell ref="G3:G4"/>
    <mergeCell ref="H3:H5"/>
  </mergeCells>
  <printOptions horizontalCentered="1"/>
  <pageMargins left="0.357638888888889" right="0.357638888888889" top="0.60625" bottom="1" header="0.5" footer="0.5"/>
  <pageSetup paperSize="5" scale="85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E5" sqref="E5"/>
    </sheetView>
  </sheetViews>
  <sheetFormatPr defaultColWidth="9" defaultRowHeight="13"/>
  <cols>
    <col min="1" max="1" width="4.54545454545455" style="1" customWidth="1"/>
    <col min="2" max="2" width="6.81818181818182" style="1" customWidth="1"/>
    <col min="3" max="3" width="11.7272727272727" style="1" customWidth="1"/>
    <col min="4" max="4" width="16.9090909090909" style="1" customWidth="1"/>
    <col min="5" max="5" width="9" style="1"/>
    <col min="6" max="6" width="6.63636363636364" style="1" customWidth="1"/>
    <col min="7" max="7" width="9.09090909090909" style="1" customWidth="1"/>
    <col min="8" max="8" width="20.3636363636364" style="1" customWidth="1"/>
    <col min="9" max="9" width="11.2727272727273" style="1" customWidth="1"/>
    <col min="10" max="16384" width="9" style="1"/>
  </cols>
  <sheetData>
    <row r="1" s="1" customFormat="1" spans="5:5">
      <c r="E1" s="5" t="s">
        <v>326</v>
      </c>
    </row>
    <row r="2" s="1" customFormat="1" spans="5:5">
      <c r="E2" s="5" t="s">
        <v>736</v>
      </c>
    </row>
    <row r="3" s="1" customFormat="1" spans="5:5">
      <c r="E3" s="5" t="s">
        <v>737</v>
      </c>
    </row>
    <row r="4" s="1" customFormat="1" spans="5:5">
      <c r="E4" s="5" t="s">
        <v>3</v>
      </c>
    </row>
    <row r="5" s="1" customFormat="1" spans="5:5">
      <c r="E5" s="5" t="s">
        <v>328</v>
      </c>
    </row>
    <row r="6" s="1" customFormat="1" spans="5:5">
      <c r="E6" s="5" t="s">
        <v>738</v>
      </c>
    </row>
    <row r="7" s="1" customFormat="1" spans="5:5">
      <c r="E7" s="5" t="s">
        <v>67</v>
      </c>
    </row>
    <row r="8" s="1" customFormat="1" spans="4:5">
      <c r="D8" s="6"/>
      <c r="E8" s="2"/>
    </row>
    <row r="9" s="1" customFormat="1" spans="1:9">
      <c r="A9" s="7" t="s">
        <v>739</v>
      </c>
      <c r="B9" s="7"/>
      <c r="C9" s="7"/>
      <c r="D9" s="7"/>
      <c r="E9" s="7"/>
      <c r="F9" s="7"/>
      <c r="G9" s="7"/>
      <c r="H9" s="7"/>
      <c r="I9" s="7"/>
    </row>
    <row r="10" s="1" customFormat="1" spans="1:9">
      <c r="A10" s="7" t="s">
        <v>740</v>
      </c>
      <c r="B10" s="7"/>
      <c r="C10" s="7"/>
      <c r="D10" s="7"/>
      <c r="E10" s="7"/>
      <c r="F10" s="7"/>
      <c r="G10" s="7"/>
      <c r="H10" s="7"/>
      <c r="I10" s="7"/>
    </row>
    <row r="12" s="1" customFormat="1" spans="1:3">
      <c r="A12" s="8" t="s">
        <v>741</v>
      </c>
      <c r="B12" s="8"/>
      <c r="C12" s="8" t="s">
        <v>742</v>
      </c>
    </row>
    <row r="13" s="1" customFormat="1" spans="1:3">
      <c r="A13" s="8" t="s">
        <v>743</v>
      </c>
      <c r="B13" s="8"/>
      <c r="C13" s="8" t="s">
        <v>744</v>
      </c>
    </row>
    <row r="14" s="1" customFormat="1" spans="1:3">
      <c r="A14" s="8" t="s">
        <v>745</v>
      </c>
      <c r="B14" s="8"/>
      <c r="C14" s="8" t="s">
        <v>746</v>
      </c>
    </row>
    <row r="15" s="1" customFormat="1" spans="1:3">
      <c r="A15" s="8" t="s">
        <v>747</v>
      </c>
      <c r="B15" s="8"/>
      <c r="C15" s="8" t="s">
        <v>748</v>
      </c>
    </row>
    <row r="17" s="2" customFormat="1" ht="30" customHeight="1" spans="1:9">
      <c r="A17" s="9" t="s">
        <v>749</v>
      </c>
      <c r="B17" s="10" t="s">
        <v>750</v>
      </c>
      <c r="C17" s="11"/>
      <c r="D17" s="12" t="s">
        <v>751</v>
      </c>
      <c r="E17" s="13"/>
      <c r="F17" s="13"/>
      <c r="G17" s="14"/>
      <c r="H17" s="12" t="s">
        <v>340</v>
      </c>
      <c r="I17" s="14"/>
    </row>
    <row r="18" s="2" customFormat="1" ht="26" spans="1:9">
      <c r="A18" s="9"/>
      <c r="B18" s="15"/>
      <c r="C18" s="16"/>
      <c r="D18" s="9" t="s">
        <v>752</v>
      </c>
      <c r="E18" s="17" t="s">
        <v>753</v>
      </c>
      <c r="F18" s="17" t="s">
        <v>338</v>
      </c>
      <c r="G18" s="17" t="s">
        <v>339</v>
      </c>
      <c r="H18" s="17" t="s">
        <v>754</v>
      </c>
      <c r="I18" s="17" t="s">
        <v>337</v>
      </c>
    </row>
    <row r="19" s="3" customFormat="1" ht="70" customHeight="1" spans="1:10">
      <c r="A19" s="18">
        <v>1</v>
      </c>
      <c r="B19" s="19" t="s">
        <v>755</v>
      </c>
      <c r="C19" s="19"/>
      <c r="D19" s="20" t="s">
        <v>756</v>
      </c>
      <c r="E19" s="19" t="s">
        <v>757</v>
      </c>
      <c r="F19" s="19">
        <v>1</v>
      </c>
      <c r="G19" s="19" t="s">
        <v>758</v>
      </c>
      <c r="H19" s="21">
        <v>500000000</v>
      </c>
      <c r="I19" s="19" t="s">
        <v>759</v>
      </c>
      <c r="J19" s="4"/>
    </row>
    <row r="20" s="4" customFormat="1" ht="48.75" customHeight="1" spans="1:9">
      <c r="A20" s="22">
        <v>2</v>
      </c>
      <c r="B20" s="19" t="s">
        <v>760</v>
      </c>
      <c r="C20" s="19"/>
      <c r="D20" s="19" t="s">
        <v>761</v>
      </c>
      <c r="E20" s="22" t="s">
        <v>762</v>
      </c>
      <c r="F20" s="22"/>
      <c r="G20" s="22"/>
      <c r="H20" s="23">
        <v>7000000000000</v>
      </c>
      <c r="I20" s="19" t="s">
        <v>763</v>
      </c>
    </row>
    <row r="21" s="4" customFormat="1" ht="47" customHeight="1" spans="1:14">
      <c r="A21" s="22">
        <v>3</v>
      </c>
      <c r="B21" s="24" t="s">
        <v>764</v>
      </c>
      <c r="C21" s="20"/>
      <c r="D21" s="19" t="s">
        <v>765</v>
      </c>
      <c r="E21" s="19" t="s">
        <v>766</v>
      </c>
      <c r="F21" s="19">
        <v>5</v>
      </c>
      <c r="G21" s="19" t="s">
        <v>758</v>
      </c>
      <c r="H21" s="25">
        <v>40000000</v>
      </c>
      <c r="I21" s="19" t="s">
        <v>767</v>
      </c>
      <c r="N21" s="26"/>
    </row>
    <row r="25" s="1" customFormat="1" spans="6:6">
      <c r="F25" s="1" t="s">
        <v>733</v>
      </c>
    </row>
    <row r="30" s="1" customFormat="1" spans="6:6">
      <c r="F30" s="2" t="s">
        <v>325</v>
      </c>
    </row>
  </sheetData>
  <mergeCells count="9">
    <mergeCell ref="A9:I9"/>
    <mergeCell ref="A10:I10"/>
    <mergeCell ref="D17:G17"/>
    <mergeCell ref="H17:I17"/>
    <mergeCell ref="B19:C19"/>
    <mergeCell ref="B20:C20"/>
    <mergeCell ref="B21:C21"/>
    <mergeCell ref="A17:A18"/>
    <mergeCell ref="B17:C18"/>
  </mergeCells>
  <printOptions horizontalCentered="1"/>
  <pageMargins left="0.357638888888889" right="0.357638888888889" top="1" bottom="0.60625" header="0.5" footer="0.5"/>
  <pageSetup paperSize="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Daftar Isi</vt:lpstr>
      <vt:lpstr>I</vt:lpstr>
      <vt:lpstr>I-2</vt:lpstr>
      <vt:lpstr>lamp ii lap realisasi kegiatan2</vt:lpstr>
      <vt:lpstr>LAMPIRAN III 2024</vt:lpstr>
      <vt:lpstr>t2c aset</vt:lpstr>
      <vt:lpstr>laporan mutasi aset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 GIRING</dc:creator>
  <cp:lastModifiedBy>Desa Giring</cp:lastModifiedBy>
  <dcterms:created xsi:type="dcterms:W3CDTF">2006-09-16T00:00:00Z</dcterms:created>
  <cp:lastPrinted>2024-02-29T04:21:00Z</cp:lastPrinted>
  <dcterms:modified xsi:type="dcterms:W3CDTF">2025-02-11T10:30:17Z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CBCDCE3AC78B44EEBF8B4AA1F34C49E1</vt:lpwstr>
  </property>
  <property fmtid="{D5CDD505-2E9C-101B-9397-08002B2CF9AE}" pid="3" name="KSOProductBuildVer">
    <vt:lpwstr>1033-12.2.0.19805</vt:lpwstr>
  </property>
</Properties>
</file>